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IUDAD REAL\"/>
    </mc:Choice>
  </mc:AlternateContent>
  <workbookProtection workbookAlgorithmName="SHA-512" workbookHashValue="s0GYypfhh/mP+kNbsyZjQBIAJzNiP6cqaFcvxJFL73SNMe/fojsi014z+1zwPUp/0136uIl9bmNR5FSA4uSnFQ==" workbookSaltValue="l1raP2MZbIbbPVvwwvkL/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E16" i="13" s="1"/>
  <c r="BA16" i="13"/>
  <c r="BB15" i="13"/>
  <c r="BA15" i="13"/>
  <c r="AZ16" i="13"/>
  <c r="BD16" i="13" s="1"/>
  <c r="AZ15" i="13"/>
  <c r="AY16" i="13"/>
  <c r="BG16" i="13" s="1"/>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E11" i="13" s="1"/>
  <c r="BA12" i="13"/>
  <c r="BA11" i="13"/>
  <c r="AZ12" i="13"/>
  <c r="AZ11" i="13"/>
  <c r="AY12" i="13"/>
  <c r="BG12" i="13" s="1"/>
  <c r="AY11" i="13"/>
  <c r="BB9" i="13"/>
  <c r="BA9" i="13"/>
  <c r="BE9" i="13" s="1"/>
  <c r="AY9" i="13"/>
  <c r="BC12" i="13"/>
  <c r="BC11" i="13"/>
  <c r="BC10" i="13"/>
  <c r="BB10" i="13"/>
  <c r="BA10" i="13"/>
  <c r="AZ10" i="13"/>
  <c r="BG10" i="13" s="1"/>
  <c r="AY10" i="13"/>
  <c r="BC9" i="13"/>
  <c r="BC17" i="13"/>
  <c r="BB17" i="13"/>
  <c r="BA17" i="13"/>
  <c r="AZ17" i="13"/>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R19" i="8" s="1"/>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I13" i="8"/>
  <c r="S13" i="12" s="1"/>
  <c r="AH13" i="8"/>
  <c r="R13" i="12" s="1"/>
  <c r="AG13" i="8"/>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D16" i="2" s="1"/>
  <c r="C17" i="2"/>
  <c r="I9" i="2"/>
  <c r="I10" i="2"/>
  <c r="I11" i="2"/>
  <c r="I12" i="2"/>
  <c r="C10" i="2"/>
  <c r="C11" i="2"/>
  <c r="D11" i="2" s="1"/>
  <c r="C12" i="2"/>
  <c r="D12" i="2" s="1"/>
  <c r="G9" i="2"/>
  <c r="G10" i="2"/>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AY18" i="8" s="1"/>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8" i="19"/>
  <c r="X19" i="8"/>
  <c r="BD11" i="13"/>
  <c r="BC18" i="13"/>
  <c r="BF17" i="8"/>
  <c r="BC13" i="13"/>
  <c r="BK19" i="13"/>
  <c r="ER19" i="8"/>
  <c r="EL19" i="8"/>
  <c r="EQ19" i="8"/>
  <c r="ES19" i="8"/>
  <c r="AC19" i="8"/>
  <c r="BH19" i="13"/>
  <c r="R8" i="9"/>
  <c r="BH9" i="16" s="1"/>
  <c r="EP19" i="8"/>
  <c r="EP19" i="19"/>
  <c r="T17" i="11"/>
  <c r="BJ17" i="11"/>
  <c r="V11" i="16"/>
  <c r="BL12" i="11"/>
  <c r="AT17" i="20"/>
  <c r="V17" i="16"/>
  <c r="K18" i="2"/>
  <c r="M13" i="2"/>
  <c r="H13" i="12"/>
  <c r="T13" i="12"/>
  <c r="AP10" i="21"/>
  <c r="BJ15" i="11"/>
  <c r="R17" i="20"/>
  <c r="R18" i="20" s="1"/>
  <c r="BU15" i="17"/>
  <c r="BW16" i="20"/>
  <c r="BV10" i="16"/>
  <c r="T13" i="16"/>
  <c r="P15" i="17"/>
  <c r="BH10" i="16"/>
  <c r="BM9" i="11"/>
  <c r="T13" i="20"/>
  <c r="J18" i="17"/>
  <c r="V9" i="16"/>
  <c r="BG15" i="13"/>
  <c r="BA18" i="13"/>
  <c r="BE15" i="13"/>
  <c r="AH20" i="20"/>
  <c r="AL20" i="20"/>
  <c r="AB20" i="20"/>
  <c r="AO20" i="20"/>
  <c r="AN20" i="20"/>
  <c r="Y20" i="20"/>
  <c r="U10" i="11"/>
  <c r="T19" i="8" l="1"/>
  <c r="AJ19" i="8"/>
  <c r="BD12" i="8"/>
  <c r="H12" i="7" s="1"/>
  <c r="AC10" i="11"/>
  <c r="D10" i="6"/>
  <c r="BE10" i="8"/>
  <c r="AL9" i="11"/>
  <c r="N13" i="2"/>
  <c r="F9" i="2"/>
  <c r="AL12" i="11"/>
  <c r="C17" i="6"/>
  <c r="B10" i="6"/>
  <c r="L17" i="2"/>
  <c r="BF9" i="8"/>
  <c r="BB13" i="13"/>
  <c r="BK10" i="11"/>
  <c r="BM17" i="11"/>
  <c r="BL15" i="11"/>
  <c r="T16" i="11"/>
  <c r="BU16" i="17"/>
  <c r="BW15" i="20"/>
  <c r="BW17" i="20"/>
  <c r="AZ9" i="11"/>
  <c r="AZ19" i="11" s="1"/>
  <c r="AP15" i="20"/>
  <c r="BH9" i="11"/>
  <c r="E12" i="6"/>
  <c r="AO12" i="11"/>
  <c r="BF16" i="11"/>
  <c r="BH15" i="16"/>
  <c r="H12" i="2"/>
  <c r="AY13" i="8"/>
  <c r="L9" i="14"/>
  <c r="L12" i="14"/>
  <c r="C10" i="6"/>
  <c r="I10" i="12" s="1"/>
  <c r="AY13" i="13"/>
  <c r="BA13" i="13"/>
  <c r="BG15" i="8"/>
  <c r="K15" i="7" s="1"/>
  <c r="BD16" i="8"/>
  <c r="H16" i="7" s="1"/>
  <c r="AO17" i="11"/>
  <c r="L16" i="14"/>
  <c r="L17" i="14"/>
  <c r="AZ18" i="13"/>
  <c r="F15" i="17"/>
  <c r="AQ15" i="17" s="1"/>
  <c r="X12" i="21"/>
  <c r="T9" i="11"/>
  <c r="BF11" i="11"/>
  <c r="BH11" i="16"/>
  <c r="BL9" i="11"/>
  <c r="BH17" i="16"/>
  <c r="BG10" i="11"/>
  <c r="BM16" i="11"/>
  <c r="P17" i="17"/>
  <c r="BL17" i="11"/>
  <c r="BK12" i="11"/>
  <c r="BF10" i="11"/>
  <c r="BK9" i="11"/>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AZ12" i="11"/>
  <c r="BG12" i="11"/>
  <c r="Q17" i="17"/>
  <c r="BH10" i="11"/>
  <c r="BI9" i="11"/>
  <c r="AQ10" i="21"/>
  <c r="BJ10" i="11"/>
  <c r="BK16" i="11"/>
  <c r="BH11" i="11"/>
  <c r="BG16" i="11"/>
  <c r="BH16" i="11"/>
  <c r="AQ12" i="21"/>
  <c r="BJ16" i="11"/>
  <c r="BL16" i="11"/>
  <c r="L16" i="2"/>
  <c r="U9" i="17"/>
  <c r="U19" i="17" s="1"/>
  <c r="L9" i="2"/>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V10" i="16"/>
  <c r="L15" i="2"/>
  <c r="BH12" i="16"/>
  <c r="BF15" i="11"/>
  <c r="Q15" i="17"/>
  <c r="BL10" i="11"/>
  <c r="BF12" i="11"/>
  <c r="S15" i="16"/>
  <c r="AZ16" i="11"/>
  <c r="BV9" i="16"/>
  <c r="BU17" i="17"/>
  <c r="BU9" i="17"/>
  <c r="BV15" i="16"/>
  <c r="BV16" i="16"/>
  <c r="BW9" i="20"/>
  <c r="AP17" i="20"/>
  <c r="BK17" i="11"/>
  <c r="BG15" i="11"/>
  <c r="BJ12" i="11"/>
  <c r="BI15" i="11"/>
  <c r="BM12" i="11"/>
  <c r="BK11" i="11"/>
  <c r="S17" i="16"/>
  <c r="S18" i="16" s="1"/>
  <c r="BF17" i="11"/>
  <c r="Q17" i="20"/>
  <c r="Q18" i="20" s="1"/>
  <c r="BH15" i="11"/>
  <c r="V15" i="11"/>
  <c r="AP16" i="20"/>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J18" i="2" s="1"/>
  <c r="AM15" i="11"/>
  <c r="E11" i="6"/>
  <c r="I13" i="2"/>
  <c r="C9" i="6"/>
  <c r="F17" i="2"/>
  <c r="J15" i="2"/>
  <c r="BE9" i="8"/>
  <c r="BD15" i="8"/>
  <c r="H15" i="7" s="1"/>
  <c r="AO16" i="17"/>
  <c r="AM12" i="11"/>
  <c r="D17" i="2"/>
  <c r="AM16" i="11"/>
  <c r="L19" i="8"/>
  <c r="J12" i="2"/>
  <c r="E18" i="12"/>
  <c r="B18" i="2"/>
  <c r="G17" i="3"/>
  <c r="I10" i="3"/>
  <c r="D13" i="5"/>
  <c r="BF11" i="8"/>
  <c r="BE12" i="8"/>
  <c r="I12" i="7" s="1"/>
  <c r="BE15" i="8"/>
  <c r="AO17" i="17"/>
  <c r="AO15" i="17"/>
  <c r="C16" i="6"/>
  <c r="U19" i="8"/>
  <c r="Y19" i="8"/>
  <c r="AI19" i="8"/>
  <c r="BK19" i="8"/>
  <c r="B11" i="6"/>
  <c r="C12" i="14"/>
  <c r="K12" i="14" s="1"/>
  <c r="AZ13" i="11"/>
  <c r="K18" i="11"/>
  <c r="E9" i="6"/>
  <c r="I9" i="7"/>
  <c r="H9" i="7"/>
  <c r="K9" i="7"/>
  <c r="AO10" i="17"/>
  <c r="AM9" i="11"/>
  <c r="AO12" i="17"/>
  <c r="AO11" i="11"/>
  <c r="AL11" i="11"/>
  <c r="AO15" i="11"/>
  <c r="AN17" i="11"/>
  <c r="D15" i="6"/>
  <c r="AN11" i="11"/>
  <c r="M18" i="2"/>
  <c r="N18" i="2"/>
  <c r="BB19" i="19"/>
  <c r="CJ19" i="19"/>
  <c r="Y19" i="19"/>
  <c r="AG19" i="19"/>
  <c r="P18" i="17"/>
  <c r="P19" i="17" s="1"/>
  <c r="W13" i="17"/>
  <c r="X13" i="17" s="1"/>
  <c r="BD17" i="13"/>
  <c r="BE17" i="13"/>
  <c r="BF9" i="13"/>
  <c r="BE10" i="13"/>
  <c r="BG9" i="13"/>
  <c r="ER19" i="13"/>
  <c r="T10" i="21"/>
  <c r="V10" i="21" s="1"/>
  <c r="BG17" i="8"/>
  <c r="K17" i="7" s="1"/>
  <c r="B13" i="3"/>
  <c r="B13" i="2"/>
  <c r="J13" i="2" s="1"/>
  <c r="AC19" i="17"/>
  <c r="E13" i="17"/>
  <c r="BI16" i="16"/>
  <c r="G11" i="3"/>
  <c r="AN10" i="11"/>
  <c r="D11" i="12"/>
  <c r="BE17" i="8"/>
  <c r="BD17" i="8"/>
  <c r="H17" i="7" s="1"/>
  <c r="E16" i="6"/>
  <c r="Y10" i="11"/>
  <c r="AP12" i="11"/>
  <c r="AP10" i="11"/>
  <c r="Y9" i="11"/>
  <c r="F12" i="11"/>
  <c r="AQ12" i="11" s="1"/>
  <c r="H13" i="21"/>
  <c r="H19" i="21" s="1"/>
  <c r="Y11" i="11"/>
  <c r="E10" i="3"/>
  <c r="G15" i="3"/>
  <c r="AO9" i="17"/>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C12" i="6"/>
  <c r="B12" i="6"/>
  <c r="AL10" i="11"/>
  <c r="H10" i="2"/>
  <c r="G13" i="2"/>
  <c r="D10" i="2"/>
  <c r="AO10" i="11"/>
  <c r="AM11" i="11"/>
  <c r="C11" i="6"/>
  <c r="L11" i="14"/>
  <c r="AL17" i="11"/>
  <c r="B17" i="6"/>
  <c r="D17" i="6"/>
  <c r="J17" i="12" s="1"/>
  <c r="J9" i="2"/>
  <c r="AN12" i="11"/>
  <c r="M19" i="21"/>
  <c r="AP13" i="20"/>
  <c r="BE18" i="19"/>
  <c r="AO13" i="20"/>
  <c r="N19" i="19"/>
  <c r="R19" i="19"/>
  <c r="T19" i="19"/>
  <c r="Z19" i="19"/>
  <c r="AL19" i="19"/>
  <c r="AR19" i="19"/>
  <c r="AT19" i="19"/>
  <c r="CK19" i="19"/>
  <c r="EL19" i="19"/>
  <c r="I19" i="19"/>
  <c r="AO18" i="20"/>
  <c r="AT18" i="20"/>
  <c r="U19" i="19"/>
  <c r="AO19" i="19"/>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AU20" i="20"/>
  <c r="AF20" i="20"/>
  <c r="F20" i="20"/>
  <c r="AK20" i="20"/>
  <c r="W20" i="21"/>
  <c r="AV20" i="20"/>
  <c r="AQ20" i="21"/>
  <c r="K20" i="20"/>
  <c r="AD20" i="20"/>
  <c r="AJ20" i="20"/>
  <c r="J20" i="20"/>
  <c r="O16" i="11"/>
  <c r="AG20" i="20"/>
  <c r="U12" i="11"/>
  <c r="S20" i="20"/>
  <c r="Z20" i="20"/>
  <c r="U16" i="11"/>
  <c r="G18" i="14"/>
  <c r="AE20" i="20"/>
  <c r="X20" i="20"/>
  <c r="R20" i="20"/>
  <c r="O20" i="20"/>
  <c r="Q20" i="20"/>
  <c r="AI20" i="20"/>
  <c r="H20" i="20"/>
  <c r="M20" i="20"/>
  <c r="AQ20" i="20"/>
  <c r="E20" i="20"/>
  <c r="P20" i="20"/>
  <c r="AP20" i="20"/>
  <c r="T20" i="20"/>
  <c r="AZ20" i="20"/>
  <c r="AC20" i="20"/>
  <c r="AM20" i="20"/>
  <c r="W20" i="20"/>
  <c r="I20" i="20"/>
  <c r="N20" i="20"/>
  <c r="AA20" i="20"/>
  <c r="G13" i="14"/>
  <c r="T20" i="21"/>
  <c r="C13" i="6" l="1"/>
  <c r="F13" i="2"/>
  <c r="BG13" i="13"/>
  <c r="R19" i="21"/>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F13" i="21"/>
  <c r="F19" i="21" s="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F13" i="8"/>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O18"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7" i="11"/>
  <c r="L20" i="20"/>
  <c r="O10" i="11"/>
  <c r="U17" i="11"/>
  <c r="AX20" i="20"/>
  <c r="H20" i="17"/>
  <c r="B19" i="7" l="1"/>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BR20" i="16"/>
  <c r="AW20" i="11"/>
  <c r="AX20" i="21"/>
  <c r="AU20" i="17"/>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Y20" i="17"/>
  <c r="L20" i="11"/>
  <c r="R20" i="11"/>
  <c r="I20" i="11"/>
  <c r="I20" i="17"/>
  <c r="R20" i="16"/>
  <c r="H20" i="11"/>
  <c r="F20" i="17"/>
  <c r="AQ20" i="16"/>
  <c r="AF20" i="11"/>
  <c r="P20" i="16"/>
  <c r="N20" i="16"/>
  <c r="AG20" i="21"/>
  <c r="AL20" i="17"/>
  <c r="AS20" i="16"/>
  <c r="AD20" i="17"/>
  <c r="H20" i="16"/>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T20" i="17"/>
  <c r="S20" i="21"/>
  <c r="AO20" i="16"/>
  <c r="BC20" i="16"/>
  <c r="AC20" i="21"/>
  <c r="U20" i="17"/>
  <c r="BJ20" i="16"/>
  <c r="AW20" i="21"/>
  <c r="BB20" i="16"/>
  <c r="L20" i="16"/>
  <c r="AF20" i="21"/>
  <c r="W20" i="17"/>
  <c r="AO20" i="11"/>
  <c r="E20" i="21"/>
  <c r="BM20" i="16"/>
  <c r="AM20" i="11"/>
  <c r="BE20" i="21"/>
  <c r="I20" i="12"/>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<sst xmlns="http://schemas.openxmlformats.org/spreadsheetml/2006/main" count="2102" uniqueCount="917">
  <si>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</si>
  <si>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</si>
  <si>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</si>
  <si>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</si>
  <si>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</si>
  <si>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</si>
  <si>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</si>
  <si>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</si>
  <si>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</si>
  <si>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</si>
  <si>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</si>
  <si>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</si>
  <si>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</si>
  <si>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</si>
  <si>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</si>
  <si>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</si>
  <si>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</si>
  <si>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</si>
  <si>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</si>
  <si>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</si>
  <si>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</si>
  <si>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</si>
  <si>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</si>
  <si>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</si>
  <si>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</si>
  <si>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</si>
  <si>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</si>
  <si>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</si>
  <si>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</si>
  <si>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</si>
  <si>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</si>
  <si>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</si>
  <si>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</si>
  <si>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</si>
  <si>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</si>
  <si>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</si>
  <si>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</si>
  <si>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</si>
  <si>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</si>
  <si>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</si>
  <si>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</si>
  <si>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</si>
  <si>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</si>
  <si>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</si>
  <si>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</si>
  <si>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</si>
  <si>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</si>
  <si>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</si>
  <si>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</si>
  <si>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</si>
  <si>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</si>
  <si>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</si>
  <si>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</si>
  <si>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</si>
  <si>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</si>
  <si>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</si>
  <si>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</si>
  <si>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</si>
  <si>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</si>
  <si>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</si>
  <si>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</si>
  <si>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</si>
  <si>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</si>
  <si>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</si>
  <si>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</si>
  <si>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</si>
  <si>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</si>
  <si>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</si>
  <si>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</si>
  <si>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</si>
  <si>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</si>
  <si>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</si>
  <si>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</si>
  <si>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</si>
  <si>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</si>
  <si>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</si>
  <si>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</si>
  <si>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</si>
  <si>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</si>
  <si>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</si>
  <si>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</si>
  <si>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</si>
  <si>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</si>
  <si>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</si>
  <si>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</si>
  <si>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</si>
  <si>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</si>
  <si>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</si>
  <si>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</si>
  <si>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</si>
  <si>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</si>
  <si>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</si>
  <si>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</si>
  <si>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</si>
  <si>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</si>
  <si>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</si>
  <si>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</si>
  <si>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</si>
  <si>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</si>
  <si>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</si>
  <si>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</si>
  <si>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</si>
  <si>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</si>
  <si>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</si>
  <si>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</si>
  <si>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</si>
  <si>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</si>
  <si>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</si>
  <si>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</si>
  <si>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</si>
  <si>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</si>
  <si>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</si>
  <si>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</si>
  <si>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</si>
  <si>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</si>
  <si>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</si>
  <si>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</si>
  <si>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</si>
  <si>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</si>
  <si>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</si>
  <si>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</si>
  <si>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</si>
  <si>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</si>
  <si>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</si>
  <si>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</si>
  <si>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</si>
  <si>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</si>
  <si>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</si>
  <si>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</si>
  <si>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</si>
  <si>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</si>
  <si>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</si>
  <si>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</si>
  <si>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</si>
  <si>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</si>
  <si>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</si>
  <si>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</si>
  <si>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</si>
  <si>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</si>
  <si>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</si>
  <si>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</si>
  <si>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</si>
  <si>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</si>
  <si>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</si>
  <si>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</si>
  <si>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</si>
  <si>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</si>
  <si>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</si>
  <si>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</si>
  <si>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</si>
  <si>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</si>
  <si>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</si>
  <si>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</si>
  <si>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</si>
  <si>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</si>
  <si>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</si>
  <si>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</si>
  <si>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</si>
  <si>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</si>
  <si>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</si>
  <si>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</si>
  <si>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</si>
  <si>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</si>
  <si>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</si>
  <si>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</si>
  <si>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</si>
  <si>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</si>
  <si>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</si>
  <si>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</si>
  <si>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</si>
  <si>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</si>
  <si>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</si>
  <si>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</si>
  <si>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</si>
  <si>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</si>
  <si>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</si>
  <si>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</si>
  <si>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</si>
  <si>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</si>
  <si>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</si>
  <si>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</si>
  <si>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</si>
  <si>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</si>
  <si>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</si>
  <si>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</si>
  <si>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</si>
  <si>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</si>
  <si>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</si>
  <si>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</si>
  <si>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</si>
  <si>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</si>
  <si>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</si>
  <si>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</si>
  <si>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</si>
  <si>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</si>
  <si>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</si>
  <si>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</si>
  <si>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</si>
  <si>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</si>
  <si>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</si>
  <si>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</si>
  <si>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</si>
  <si>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</si>
  <si>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</si>
  <si>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</si>
  <si>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</si>
  <si>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</si>
  <si>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</si>
  <si>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</si>
  <si>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</si>
  <si>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</si>
  <si>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</si>
  <si>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</si>
  <si>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</si>
  <si>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</si>
  <si>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</si>
  <si>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</si>
  <si>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</si>
  <si>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</si>
  <si>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</si>
  <si>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</si>
  <si>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</si>
  <si>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</si>
  <si>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</si>
  <si>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</si>
  <si>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</si>
  <si>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</si>
  <si>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</si>
  <si>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</si>
  <si>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</si>
  <si>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</si>
  <si>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</si>
  <si>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</si>
  <si>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</si>
  <si>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</si>
  <si>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</si>
  <si>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</si>
  <si>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</si>
  <si>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</si>
  <si>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</si>
  <si>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</si>
  <si>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</si>
  <si>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</si>
  <si>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</si>
  <si>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</si>
  <si>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</si>
  <si>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</si>
  <si>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</si>
  <si>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</si>
  <si>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</si>
  <si>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</si>
  <si>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</si>
  <si>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</si>
  <si>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</si>
  <si>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</si>
  <si>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</si>
  <si>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</si>
  <si>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</si>
  <si>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</si>
  <si>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</si>
  <si>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</si>
  <si>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</si>
  <si>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</si>
  <si>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</si>
  <si>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</si>
  <si>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</si>
  <si>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</si>
  <si>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</si>
  <si>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</si>
  <si>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</si>
  <si>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</si>
  <si>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</si>
  <si>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</si>
  <si>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</si>
  <si>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</si>
  <si>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</si>
  <si>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</si>
  <si>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</si>
  <si>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</si>
  <si>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</si>
  <si>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</si>
  <si>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</si>
  <si>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</si>
  <si>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</si>
  <si>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</si>
  <si>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</si>
  <si>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</si>
  <si>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</si>
  <si>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</si>
  <si>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</si>
  <si>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</si>
  <si>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</si>
  <si>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</si>
  <si>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</si>
  <si>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</si>
  <si>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</si>
  <si>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</si>
  <si>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</si>
  <si>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</si>
  <si>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</si>
  <si>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</si>
  <si>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</si>
  <si>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</si>
  <si>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</si>
  <si>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</si>
  <si>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</si>
  <si>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</si>
  <si>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</si>
  <si>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</si>
  <si>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</si>
  <si>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</si>
  <si>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</si>
  <si>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</si>
  <si>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</si>
  <si>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</si>
  <si>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</si>
  <si>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</si>
  <si>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</si>
  <si>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</si>
  <si>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</si>
  <si>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</si>
  <si>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</si>
  <si>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</si>
  <si>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</si>
  <si>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</si>
  <si>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</si>
  <si>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</si>
  <si>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</si>
  <si>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</si>
  <si>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</si>
  <si>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</si>
  <si>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</si>
  <si>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</si>
  <si>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</si>
  <si>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</si>
  <si>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</si>
  <si>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</si>
  <si>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</si>
  <si>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</si>
  <si>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</si>
  <si>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</si>
  <si>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</si>
  <si>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</si>
  <si>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</si>
  <si>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</si>
  <si>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</si>
  <si>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</si>
  <si>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</si>
  <si>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</si>
  <si>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</si>
  <si>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</si>
  <si>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</si>
  <si>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</si>
  <si>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</si>
  <si>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</si>
  <si>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</si>
  <si>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</si>
  <si>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</si>
  <si>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</si>
  <si>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</si>
  <si>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</si>
  <si>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</si>
  <si>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</si>
  <si>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</si>
  <si>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</si>
  <si>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</si>
  <si>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</si>
  <si>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</si>
  <si>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</si>
  <si>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</si>
  <si>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</si>
  <si>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</si>
  <si>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</si>
  <si>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</si>
  <si>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</si>
  <si>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</si>
  <si>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</si>
  <si>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</si>
  <si>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</si>
  <si>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</si>
  <si>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</si>
  <si>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</si>
  <si>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</si>
  <si>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</si>
  <si>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</si>
  <si>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</si>
  <si>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</si>
  <si>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</si>
  <si>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</si>
  <si>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</si>
  <si>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</si>
  <si>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</si>
  <si>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</si>
  <si>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</si>
  <si>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</si>
  <si>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</si>
  <si>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</si>
  <si>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</si>
  <si>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</si>
  <si>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</si>
  <si>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</si>
  <si>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</si>
  <si>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</si>
  <si>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</si>
  <si>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</si>
  <si>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</si>
  <si>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</si>
  <si>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</si>
  <si>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</si>
  <si>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</si>
  <si>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</si>
  <si>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</si>
  <si>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</si>
  <si>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</si>
  <si>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</si>
  <si>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</si>
  <si>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</si>
  <si>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</si>
  <si>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</si>
  <si>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</si>
  <si>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</si>
  <si>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</si>
  <si>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</si>
  <si>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</si>
  <si>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</si>
  <si>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</si>
  <si>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</si>
  <si>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</si>
  <si>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</si>
  <si>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</si>
  <si>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</si>
  <si>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</si>
  <si>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</si>
  <si>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</si>
  <si>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</si>
  <si>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</si>
  <si>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</si>
  <si>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</si>
  <si>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</si>
  <si>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</si>
  <si>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</si>
  <si>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</si>
  <si>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</si>
  <si>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</si>
  <si>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</si>
  <si>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</si>
  <si>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</si>
  <si>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</si>
  <si>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</si>
  <si>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</si>
  <si>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</si>
  <si>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</si>
  <si>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</si>
  <si>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</si>
  <si>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</si>
  <si>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</si>
  <si>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</si>
  <si>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</si>
  <si>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</si>
  <si>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</si>
  <si>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</si>
  <si>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</si>
  <si>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</si>
  <si>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</si>
  <si>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</si>
  <si>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</si>
  <si>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</si>
  <si>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</si>
  <si>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</si>
  <si>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</si>
  <si>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</si>
  <si>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</si>
  <si>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</si>
  <si>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</si>
  <si>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</si>
  <si>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</si>
  <si>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</si>
  <si>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</si>
  <si>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</si>
  <si>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</si>
  <si>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</si>
  <si>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</si>
  <si>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</si>
  <si>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</si>
  <si>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</si>
  <si>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</si>
  <si>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</si>
  <si>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</si>
  <si>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</si>
  <si>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</si>
  <si>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</si>
  <si>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</si>
  <si>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</si>
  <si>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</si>
  <si>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</si>
  <si>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</si>
  <si>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</si>
  <si>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</si>
  <si>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</si>
  <si>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</si>
  <si>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</si>
  <si>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</si>
  <si>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</si>
  <si>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</si>
  <si>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</si>
  <si>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</si>
  <si>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</si>
  <si>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</si>
  <si>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</si>
  <si>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</si>
  <si>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</si>
  <si>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</si>
  <si>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</si>
  <si>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</si>
  <si>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</si>
  <si>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</si>
  <si>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</si>
  <si>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</si>
  <si>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</si>
  <si>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</si>
  <si>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</si>
  <si>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</si>
  <si>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</si>
  <si>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</si>
  <si>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</si>
  <si>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</si>
  <si>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</si>
  <si>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</si>
  <si>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</si>
  <si>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</si>
  <si>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</si>
  <si>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</si>
  <si>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</si>
  <si>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</si>
  <si>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</si>
  <si>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</si>
  <si>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</si>
  <si>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</si>
  <si>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</si>
  <si>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</si>
  <si>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</si>
  <si>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</si>
  <si>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</si>
  <si>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</si>
  <si>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</si>
  <si>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</si>
  <si>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</si>
  <si>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</si>
  <si>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</si>
  <si>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</si>
  <si>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</si>
  <si>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</si>
  <si>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</si>
  <si>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</si>
  <si>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</si>
  <si>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</si>
  <si>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</si>
  <si>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</si>
  <si>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</si>
  <si>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</si>
  <si>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</si>
  <si>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</si>
  <si>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</si>
  <si>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</si>
  <si>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</si>
  <si>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</si>
  <si>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</si>
  <si>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</si>
  <si>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</si>
  <si>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</si>
  <si>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</si>
  <si>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</si>
  <si>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</si>
  <si>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</si>
  <si>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</si>
  <si>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</si>
  <si>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</si>
  <si>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</si>
  <si>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</si>
  <si>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</si>
  <si>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</si>
  <si>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</si>
  <si>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</si>
  <si>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</si>
  <si>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</si>
  <si>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</si>
  <si>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</si>
  <si>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</si>
  <si>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</si>
  <si>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</si>
  <si>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</si>
  <si>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</si>
  <si>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</si>
  <si>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</si>
  <si>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</si>
  <si>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</si>
  <si>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</si>
  <si>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</si>
  <si>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</si>
  <si>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</si>
  <si>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</si>
  <si>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</si>
  <si>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</si>
  <si>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</si>
  <si>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</si>
  <si>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</si>
  <si>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</si>
  <si>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</si>
  <si>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</si>
  <si>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</si>
  <si>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</si>
  <si>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</si>
  <si>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</si>
  <si>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</si>
  <si>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</si>
  <si>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</si>
  <si>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</si>
  <si>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</si>
  <si>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</si>
  <si>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</si>
  <si>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</si>
  <si>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</si>
  <si>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</si>
  <si>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</si>
  <si>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</si>
  <si>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</si>
  <si>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</si>
  <si>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</si>
  <si>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</si>
  <si>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</si>
  <si>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</si>
  <si>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</si>
  <si>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</si>
  <si>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</si>
  <si>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</si>
  <si>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</si>
  <si>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</si>
  <si>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</si>
  <si>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</si>
  <si>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</si>
  <si>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</si>
  <si>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</si>
  <si>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</si>
  <si>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</si>
  <si>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</si>
  <si>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</si>
  <si>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</si>
  <si>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</si>
  <si>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</si>
  <si>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</si>
  <si>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</si>
  <si>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</si>
  <si>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</si>
  <si>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</si>
  <si>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</si>
  <si>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</si>
  <si>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</si>
  <si>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</si>
  <si>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</si>
  <si>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</si>
  <si>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</si>
  <si>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</si>
  <si>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</si>
  <si>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</si>
  <si>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</si>
  <si>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</si>
  <si>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</si>
  <si>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</si>
  <si>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</si>
  <si>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</si>
  <si>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</si>
  <si>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</si>
  <si>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</si>
  <si>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</si>
  <si>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</si>
  <si>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</si>
  <si>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</si>
  <si>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</si>
  <si>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</si>
  <si>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</si>
  <si>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</si>
  <si>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</si>
  <si>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</si>
  <si>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</si>
  <si>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</si>
  <si>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</si>
  <si>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</si>
  <si>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</si>
  <si>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</si>
  <si>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</si>
  <si>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</si>
  <si>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</si>
  <si>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</si>
  <si>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</si>
  <si>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</si>
  <si>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</si>
  <si>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</si>
  <si>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</si>
  <si>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</si>
  <si>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</si>
  <si>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</si>
  <si>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</si>
  <si>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</si>
  <si>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</si>
  <si>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</si>
  <si>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</si>
  <si>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</si>
  <si>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</si>
  <si>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</si>
  <si>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</si>
  <si>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</si>
  <si>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</si>
  <si>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</si>
  <si>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</si>
  <si>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</si>
  <si>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</si>
  <si>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</si>
  <si>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</si>
  <si>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</si>
  <si>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</si>
  <si>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</si>
  <si>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</si>
  <si>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</si>
  <si>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</si>
  <si>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</si>
  <si>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</si>
  <si>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</si>
  <si>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</si>
  <si>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</si>
  <si>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</si>
  <si>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</si>
  <si>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</si>
  <si>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</si>
  <si>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</si>
  <si>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</si>
  <si>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</si>
  <si>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</si>
  <si>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</si>
  <si>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</si>
  <si>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</si>
  <si>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</si>
  <si>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</si>
  <si>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</si>
  <si>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</si>
  <si>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</si>
  <si>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</si>
  <si>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</si>
  <si>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</si>
  <si>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</si>
  <si>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</si>
  <si>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</si>
  <si>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</si>
  <si>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</si>
  <si>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</si>
  <si>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</si>
  <si>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</si>
  <si>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</si>
  <si>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</si>
  <si>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</si>
  <si>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</si>
  <si>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</si>
  <si>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</si>
  <si>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</si>
  <si>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</si>
  <si>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</si>
  <si>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</si>
  <si>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</si>
  <si>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</si>
  <si>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</si>
  <si>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</si>
  <si>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</si>
  <si>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</si>
  <si>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</si>
  <si>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</si>
  <si>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</si>
  <si>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</si>
  <si>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</si>
  <si>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</si>
  <si>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</si>
  <si>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</si>
  <si>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</si>
  <si>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</si>
  <si>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</si>
  <si>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</si>
  <si>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</si>
  <si>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</si>
  <si>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</si>
  <si>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</si>
  <si>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</si>
  <si>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</si>
  <si>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</si>
  <si>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</si>
  <si>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</si>
  <si>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</si>
  <si>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</si>
  <si>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</si>
  <si>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</si>
  <si>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</si>
  <si>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</si>
  <si>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</si>
  <si>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</si>
  <si>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</si>
  <si>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</si>
  <si>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</si>
  <si>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</si>
  <si>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</si>
  <si>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</si>
  <si>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</si>
  <si>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</si>
  <si>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</si>
  <si>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</si>
  <si>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</si>
  <si>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</si>
  <si>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</si>
  <si>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</si>
  <si>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</si>
  <si>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</si>
  <si>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</si>
  <si>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</si>
  <si>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</si>
  <si>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</si>
  <si>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</si>
  <si>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</si>
  <si>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</si>
  <si>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</si>
  <si>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</si>
  <si>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</si>
  <si>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</si>
  <si>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</si>
  <si>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</si>
  <si>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</si>
  <si>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</si>
  <si>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</si>
  <si>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</si>
  <si>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</si>
  <si>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</si>
  <si>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</si>
  <si>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</si>
  <si>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</si>
  <si>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</si>
  <si>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</si>
  <si>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</si>
  <si>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</si>
  <si>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</si>
  <si>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</si>
  <si>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</si>
  <si>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</si>
  <si>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</si>
  <si>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</si>
  <si>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</si>
  <si>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</si>
  <si>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</si>
  <si>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</si>
  <si>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</si>
  <si>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</si>
  <si>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</si>
  <si>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</si>
  <si>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</si>
  <si>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</si>
  <si>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</si>
  <si>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</si>
  <si>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</si>
  <si>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</si>
  <si>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</si>
  <si>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</si>
  <si>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</si>
  <si>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</si>
  <si>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</si>
  <si>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</si>
  <si>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</si>
  <si>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</si>
  <si>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</si>
  <si>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</si>
  <si>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</si>
  <si>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</si>
  <si>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</si>
  <si>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</si>
  <si>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</si>
  <si>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</si>
  <si>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</si>
  <si>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</si>
  <si>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</si>
  <si>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</si>
  <si>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</si>
  <si>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</si>
  <si>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</si>
  <si>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</si>
  <si>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</si>
  <si>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</si>
  <si>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</si>
  <si>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</si>
  <si>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</si>
  <si>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</si>
  <si>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</si>
  <si>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</si>
  <si>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</si>
  <si>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</si>
  <si>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</si>
  <si>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</si>
  <si>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</si>
  <si>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</si>
  <si>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</si>
  <si>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</si>
  <si>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</si>
  <si>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</si>
  <si>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</si>
  <si>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</si>
  <si>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</si>
  <si>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</si>
  <si>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</si>
  <si>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</si>
  <si>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</si>
  <si>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CASTILLA-LA MANCHA</t>
  </si>
  <si>
    <t>Provincias</t>
  </si>
  <si>
    <t>CIUDAD REAL</t>
  </si>
  <si>
    <t>Resumenes por Partidos Judiciales</t>
  </si>
  <si>
    <t>ALMAGRO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</si>
</sst>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S8q2cS3DnmKb82q3ftmqPJLsX8TTNMxucfPcrz2H4DQQJZ2eIbc5qSEkpiQLJ1V2nHm3d/Y2Dfy6UZDm2WfPwA==" saltValue="DGka4grMe5R9z/aUTnDnp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CIUDAD REAL</v>
      </c>
      <c r="D3" s="375"/>
      <c r="E3" s="375"/>
      <c r="F3" s="375"/>
      <c r="BQ3" s="471"/>
    </row>
    <row r="4" spans="1:69" ht="13.5" thickBot="1">
      <c r="A4" s="375"/>
      <c r="B4" s="391" t="str">
        <f>Criterios!A11 &amp;"  "&amp;Criterios!B11</f>
        <v>Resumenes por Partidos Judiciales  ALMAGRO</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2</v>
      </c>
      <c r="D10" s="404">
        <f>IF(ISNUMBER(C10/Datos!BH10),C10/Datos!BH10," - ")</f>
        <v>2</v>
      </c>
      <c r="E10" s="403">
        <f>IF(ISNUMBER(Datos!J10),Datos!J10," - ")</f>
        <v>3</v>
      </c>
      <c r="F10" s="404">
        <f>IF(ISNUMBER(E10/B10),E10/B10," - ")</f>
        <v>3</v>
      </c>
      <c r="G10" s="403">
        <f>IF(ISNUMBER(Datos!K10),Datos!K10," - ")</f>
        <v>0</v>
      </c>
      <c r="H10" s="404">
        <f>IF(ISNUMBER(G10/B10),G10/B10," - ")</f>
        <v>0</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1793</v>
      </c>
      <c r="D12" s="404">
        <f>IF(ISNUMBER(C12/Datos!BH12),C12/Datos!BH12," - ")</f>
        <v>1793</v>
      </c>
      <c r="E12" s="403">
        <f>IF(ISNUMBER(IF(J_V="SI",Datos!J12,Datos!J12+Datos!Z12)),IF(J_V="SI",Datos!J12,Datos!J12+Datos!Z12)," - ")</f>
        <v>655</v>
      </c>
      <c r="F12" s="404">
        <f>IF(ISNUMBER(E12/B12),E12/B12," - ")</f>
        <v>655</v>
      </c>
      <c r="G12" s="403">
        <f>IF(ISNUMBER(IF(J_V="SI",Datos!K12,Datos!K12+Datos!AA12)),IF(J_V="SI",Datos!K12,Datos!K12+Datos!AA12)," - ")</f>
        <v>450</v>
      </c>
      <c r="H12" s="404">
        <f>IF(ISNUMBER(G12/B12),G12/B12," - ")</f>
        <v>450</v>
      </c>
      <c r="I12" s="403">
        <f>IF(ISNUMBER(IF(J_V="SI",Datos!L12,Datos!L12+Datos!AB12)),IF(J_V="SI",Datos!L12,Datos!L12+Datos!AB12)," - ")</f>
        <v>1998</v>
      </c>
      <c r="J12" s="404">
        <f>IF(ISNUMBER(I12/B12),I12/B12," - ")</f>
        <v>1998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1795</v>
      </c>
      <c r="D13" s="850" t="str">
        <f>IF(ISNUMBER(C13/Datos!BI13),C13/Datos!BI13," - ")</f>
        <v xml:space="preserve"> - </v>
      </c>
      <c r="E13" s="849">
        <f>SUBTOTAL(9,E8:E12)</f>
        <v>658</v>
      </c>
      <c r="F13" s="850">
        <f>IF(ISNUMBER(E13/B13),E13/B13," - ")</f>
        <v>658</v>
      </c>
      <c r="G13" s="849">
        <f>SUBTOTAL(9,G8:G12)</f>
        <v>450</v>
      </c>
      <c r="H13" s="850">
        <f>IF(ISNUMBER(G13/B13),G13/B13," - ")</f>
        <v>450</v>
      </c>
      <c r="I13" s="849">
        <f>SUBTOTAL(9,I8:I12)</f>
        <v>2003</v>
      </c>
      <c r="J13" s="850">
        <f>IF(ISNUMBER(I13/B13),I13/B13," - ")</f>
        <v>2003</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484</v>
      </c>
      <c r="D16" s="404">
        <f>IF(ISNUMBER(C16/Datos!BH16),C16/Datos!BH16," - ")</f>
        <v>484</v>
      </c>
      <c r="E16" s="403">
        <f>IF(ISNUMBER(IF(D_I="SI",Datos!J16,Datos!J16+Datos!AD16)),IF(D_I="SI",Datos!J16,Datos!J16+Datos!AD16)," - ")</f>
        <v>272</v>
      </c>
      <c r="F16" s="404">
        <f>IF(ISNUMBER(E16/B16),E16/B16," - ")</f>
        <v>272</v>
      </c>
      <c r="G16" s="403">
        <f>IF(ISNUMBER(IF(D_I="SI",Datos!K16,Datos!K16+Datos!AE16)),IF(D_I="SI",Datos!K16,Datos!K16+Datos!AE16)," - ")</f>
        <v>261</v>
      </c>
      <c r="H16" s="404">
        <f>IF(ISNUMBER(G16/B16),G16/B16," - ")</f>
        <v>261</v>
      </c>
      <c r="I16" s="403">
        <f>IF(ISNUMBER(IF(D_I="SI",Datos!L16,Datos!L16+Datos!AF16)),IF(D_I="SI",Datos!L16,Datos!L16+Datos!AF16)," - ")</f>
        <v>501</v>
      </c>
      <c r="J16" s="404">
        <f>IF(ISNUMBER(I16/B16),I16/B16," - ")</f>
        <v>501</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41</v>
      </c>
      <c r="D17" s="404">
        <f>IF(ISNUMBER(C17/Datos!BH17),C17/Datos!BH17," - ")</f>
        <v>41</v>
      </c>
      <c r="E17" s="403">
        <f>IF(ISNUMBER(IF(D_I="SI",Datos!J17,Datos!J17+Datos!AD17)),IF(D_I="SI",Datos!J17,Datos!J17+Datos!AD17)," - ")</f>
        <v>24</v>
      </c>
      <c r="F17" s="404">
        <f>IF(ISNUMBER(E17/B17),E17/B17," - ")</f>
        <v>24</v>
      </c>
      <c r="G17" s="403">
        <f>IF(ISNUMBER(IF(D_I="SI",Datos!K17,Datos!K17+Datos!AE17)),IF(D_I="SI",Datos!K17,Datos!K17+Datos!AE17)," - ")</f>
        <v>30</v>
      </c>
      <c r="H17" s="404">
        <f>IF(ISNUMBER(G17/B17),G17/B17," - ")</f>
        <v>30</v>
      </c>
      <c r="I17" s="403">
        <f>IF(ISNUMBER(IF(D_I="SI",Datos!L17,Datos!L17+Datos!AF17)),IF(D_I="SI",Datos!L17,Datos!L17+Datos!AF17)," - ")</f>
        <v>35</v>
      </c>
      <c r="J17" s="404">
        <f>IF(ISNUMBER(I17/B17),I17/B17," - ")</f>
        <v>35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525</v>
      </c>
      <c r="D18" s="850" t="str">
        <f>IF(ISNUMBER(C18/Datos!BI18),C18/Datos!BI18," - ")</f>
        <v xml:space="preserve"> - </v>
      </c>
      <c r="E18" s="849">
        <f>SUBTOTAL(9,E14:E17)</f>
        <v>296</v>
      </c>
      <c r="F18" s="850">
        <f>IF(ISNUMBER(E18/B18),E18/B18," - ")</f>
        <v>296</v>
      </c>
      <c r="G18" s="849">
        <f>SUBTOTAL(9,G14:G17)</f>
        <v>291</v>
      </c>
      <c r="H18" s="850">
        <f>IF(ISNUMBER(G18/B18),G18/B18," - ")</f>
        <v>291</v>
      </c>
      <c r="I18" s="849">
        <f>SUBTOTAL(9,I14:I17)</f>
        <v>536</v>
      </c>
      <c r="J18" s="850">
        <f>IF(ISNUMBER(I18/B18),I18/B18," - ")</f>
        <v>536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2320</v>
      </c>
      <c r="D19" s="795" t="str">
        <f>IF(ISNUMBER(C19/Datos!BI19),C19/Datos!BI19," - ")</f>
        <v xml:space="preserve"> - </v>
      </c>
      <c r="E19" s="794">
        <f>SUBTOTAL(9,E9:E18)</f>
        <v>954</v>
      </c>
      <c r="F19" s="795">
        <f>IF(ISNUMBER(E19/B19),E19/B19," - ")</f>
        <v>954</v>
      </c>
      <c r="G19" s="794">
        <f>SUBTOTAL(9,G9:G18)</f>
        <v>741</v>
      </c>
      <c r="H19" s="795">
        <f>IF(ISNUMBER(G19/B19),G19/B19," - ")</f>
        <v>741</v>
      </c>
      <c r="I19" s="794">
        <f>SUBTOTAL(9,I9:I18)</f>
        <v>2539</v>
      </c>
      <c r="J19" s="795">
        <f>IF(ISNUMBER(I19/B19),I19/B19," - ")</f>
        <v>2539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1T9qXGRrVJYWjGMXUYZ1T7QWFiZ9CAj7Cv55b0OYm2iQzl0XGxtsf5hPZzcXaSE1xCPGhPagIUxUevteoZGYnw==" saltValue="owS0bfV9gYCK9nCJ+100n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CIUDAD REAL</v>
      </c>
      <c r="C3" s="415"/>
      <c r="F3" s="375"/>
      <c r="G3" s="375"/>
      <c r="H3" s="375"/>
    </row>
    <row r="4" spans="1:15" ht="13.5" thickBot="1">
      <c r="A4" s="375"/>
      <c r="B4" s="391" t="str">
        <f>Criterios!A11 &amp;"  "&amp;Criterios!B11</f>
        <v>Resumenes por Partidos Judiciales  ALMAGRO</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UnOtTgmBBPGCdufo2XAt4e0QBrdxZahKHSGf+IjFE9fP73UG0wgVZttQ5DHNZiLA/DSNUhqytRiwKHPlDyV4nQ==" saltValue="mPHrMpktXI4Ltrnw0JiSH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CIUDAD REAL</v>
      </c>
      <c r="C3" s="391"/>
      <c r="D3" s="425"/>
      <c r="BZ3" s="471"/>
    </row>
    <row r="4" spans="1:78" ht="13.5" thickBot="1">
      <c r="B4" s="391" t="str">
        <f>Criterios!A11 &amp;"  "&amp;Criterios!B11</f>
        <v>Resumenes por Partidos Judiciales  ALMAGRO</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130</v>
      </c>
      <c r="E12" s="404">
        <f t="shared" si="0"/>
        <v>130</v>
      </c>
      <c r="F12" s="403">
        <f>IF(ISNUMBER(Datos!N12),Datos!N12," - ")</f>
        <v>19</v>
      </c>
      <c r="G12" s="404">
        <f t="shared" si="1"/>
        <v>19</v>
      </c>
      <c r="H12" s="403">
        <f>IF(ISNUMBER(Datos!O12),Datos!O12," - ")</f>
        <v>18</v>
      </c>
      <c r="I12" s="404">
        <f t="shared" si="2"/>
        <v>18</v>
      </c>
      <c r="BZ12" s="1186">
        <f>Datos!EZ12</f>
        <v>0</v>
      </c>
    </row>
    <row r="13" spans="1:78" ht="14.25" thickTop="1" thickBot="1">
      <c r="A13" s="848" t="str">
        <f>Datos!A13</f>
        <v>TOTAL</v>
      </c>
      <c r="B13" s="849">
        <f>Datos!AP13</f>
        <v>1</v>
      </c>
      <c r="C13" s="851">
        <f>Datos!AR13</f>
        <v>1</v>
      </c>
      <c r="D13" s="849">
        <f>SUBTOTAL(9,D9:D12)</f>
        <v>130</v>
      </c>
      <c r="E13" s="850">
        <f t="shared" si="0"/>
        <v>130</v>
      </c>
      <c r="F13" s="849">
        <f>SUBTOTAL(9,F9:F12)</f>
        <v>19</v>
      </c>
      <c r="G13" s="850">
        <f t="shared" si="1"/>
        <v>19</v>
      </c>
      <c r="H13" s="849">
        <f>SUBTOTAL(9,H9:H12)</f>
        <v>18</v>
      </c>
      <c r="I13" s="850">
        <f>IF(ISNUMBER(H13/B13),H13/B13," - ")</f>
        <v>18</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25</v>
      </c>
      <c r="E16" s="404">
        <f t="shared" si="3"/>
        <v>25</v>
      </c>
      <c r="F16" s="403">
        <f>IF(ISNUMBER(Datos!N16),Datos!N16," - ")</f>
        <v>182</v>
      </c>
      <c r="G16" s="404">
        <f t="shared" si="4"/>
        <v>182</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6</v>
      </c>
      <c r="E17" s="404">
        <f>IF(ISNUMBER(D17/B17),D17/B17," - ")</f>
        <v>6</v>
      </c>
      <c r="F17" s="403">
        <f>IF(ISNUMBER(Datos!N17),Datos!N17," - ")</f>
        <v>15</v>
      </c>
      <c r="G17" s="404">
        <f>IF(ISNUMBER(F17/B17),F17/B17," - ")</f>
        <v>15</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31</v>
      </c>
      <c r="E18" s="850">
        <f t="shared" si="3"/>
        <v>31</v>
      </c>
      <c r="F18" s="849">
        <f>SUBTOTAL(9,F15:F17)</f>
        <v>197</v>
      </c>
      <c r="G18" s="850">
        <f t="shared" si="4"/>
        <v>197</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161</v>
      </c>
      <c r="E19" s="795">
        <f>IF(ISNUMBER(D19/B19),D19/B19," - ")</f>
        <v>161</v>
      </c>
      <c r="F19" s="794">
        <f>SUBTOTAL(9,F8:F18)</f>
        <v>216</v>
      </c>
      <c r="G19" s="795">
        <f>IF(ISNUMBER(F19/B19),F19/B19," - ")</f>
        <v>216</v>
      </c>
      <c r="H19" s="794">
        <f>SUBTOTAL(9,H8:H18)</f>
        <v>18</v>
      </c>
      <c r="I19" s="795">
        <f>IF(ISNUMBER(H19/B19),H19/B19," - ")</f>
        <v>18</v>
      </c>
    </row>
    <row r="22" spans="1:78">
      <c r="A22" s="391" t="str">
        <f>Criterios!A4</f>
        <v>Fecha Informe: 03 jun. 2025</v>
      </c>
    </row>
    <row r="27" spans="1:78">
      <c r="A27" s="414"/>
    </row>
  </sheetData>
  <sheetProtection algorithmName="SHA-512" hashValue="pghEPdD8opT0mrFAj15IRdLe7+banShrJn/OCDhrrZk12h4vYFdruDzOLB9rj3Kik3hvGvgmCHWc63Ie88qjGA==" saltValue="MjVmWnMniumaJiQP/0+HP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CIUDAD REAL</v>
      </c>
    </row>
    <row r="4" spans="1:4" ht="13.5" thickBot="1">
      <c r="B4" s="391" t="str">
        <f>Criterios!A11 &amp;"  "&amp;Criterios!B11</f>
        <v>Resumenes por Partidos Judiciales  ALMAGRO</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89</v>
      </c>
      <c r="C12" s="434">
        <f>IF(ISNUMBER(Datos!Q12),Datos!Q12," - ")</f>
        <v>41</v>
      </c>
      <c r="D12" s="408">
        <f>IF(ISNUMBER(Datos!R12),Datos!R12," - ")</f>
        <v>1753</v>
      </c>
    </row>
    <row r="13" spans="1:4" ht="14.25" thickTop="1" thickBot="1">
      <c r="A13" s="848" t="str">
        <f>Datos!A13</f>
        <v>TOTAL</v>
      </c>
      <c r="B13" s="849">
        <f>SUBTOTAL(9,B9:B12)</f>
        <v>89</v>
      </c>
      <c r="C13" s="853">
        <f>SUBTOTAL(9,C9:C12)</f>
        <v>41</v>
      </c>
      <c r="D13" s="851">
        <f>SUBTOTAL(9,D9:D12)</f>
        <v>1753</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0</v>
      </c>
      <c r="D16" s="408">
        <f>IF(ISNUMBER(Datos!R16),Datos!R16," - ")</f>
        <v>48</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0</v>
      </c>
      <c r="D18" s="851">
        <f>SUBTOTAL(9,D15:D17)</f>
        <v>48</v>
      </c>
    </row>
    <row r="19" spans="1:4" ht="16.5" customHeight="1" thickTop="1" thickBot="1">
      <c r="A19" s="793" t="str">
        <f>Datos!A19</f>
        <v>TOTAL JURISDICCIONES</v>
      </c>
      <c r="B19" s="798">
        <f>SUBTOTAL(9,B8:B18)</f>
        <v>89</v>
      </c>
      <c r="C19" s="799">
        <f>SUBTOTAL(9,C8:C18)</f>
        <v>41</v>
      </c>
      <c r="D19" s="800">
        <f>SUBTOTAL(9,D8:D18)</f>
        <v>1801</v>
      </c>
    </row>
    <row r="20" spans="1:4" ht="7.5" customHeight="1"/>
    <row r="21" spans="1:4" ht="6" customHeight="1"/>
    <row r="22" spans="1:4">
      <c r="A22" s="391" t="str">
        <f>Criterios!A4</f>
        <v>Fecha Informe: 03 jun. 2025</v>
      </c>
    </row>
    <row r="27" spans="1:4">
      <c r="A27" s="414"/>
    </row>
  </sheetData>
  <sheetProtection algorithmName="SHA-512" hashValue="5C4BGvWzOvaXuqCrkuhh+rk/ds9JRp2TjFETXw8a2jJQrqFyulFz6HyHm6NCZ0NhrwkNAfYxI384P6spgwzmsQ==" saltValue="A+/tR/I1rRbbi+cbcRFXYA=="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CIUDAD REAL</v>
      </c>
    </row>
    <row r="4" spans="1:11" ht="10.5" customHeight="1" thickBot="1">
      <c r="B4" s="391" t="str">
        <f>Criterios!A11 &amp;"  "&amp;Criterios!B11</f>
        <v>Resumenes por Partidos Judiciales  ALMAGRO</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f>IF(ISNUMBER((Datos!J10-Datos!T10)/Datos!T10),(Datos!J10-Datos!T10)/Datos!T10," - ")</f>
        <v>2</v>
      </c>
      <c r="D10" s="456" t="str">
        <f>IF(ISNUMBER((Datos!K10-Datos!U10)/Datos!U10),(Datos!K10-Datos!U10)/Datos!U10," - ")</f>
        <v xml:space="preserve"> - </v>
      </c>
      <c r="E10" s="456">
        <f>IF(ISNUMBER((Datos!L10-Datos!V10)/Datos!V10),(Datos!L10-Datos!V10)/Datos!V10," - ")</f>
        <v>4</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0.26534932956951307</v>
      </c>
      <c r="C12" s="456">
        <f>IF(ISNUMBER(
   IF(J_V="SI",(Datos!J12-Datos!T12)/Datos!T12,(Datos!J12+Datos!Z12-(Datos!T12+Datos!AH12))/(Datos!T12+Datos!AH12))
     ),IF(J_V="SI",(Datos!J12-Datos!T12)/Datos!T12,(Datos!J12+Datos!Z12-(Datos!T12+Datos!AH12))/(Datos!T12+Datos!AH12))," - ")</f>
        <v>0.13518197573656845</v>
      </c>
      <c r="D12" s="456">
        <f>IF(ISNUMBER(
   IF(J_V="SI",(Datos!K12-Datos!U12)/Datos!U12,(Datos!K12+Datos!AA12-(Datos!U12+Datos!AI12))/(Datos!U12+Datos!AI12))
     ),IF(J_V="SI",(Datos!K12-Datos!U12)/Datos!U12,(Datos!K12+Datos!AA12-(Datos!U12+Datos!AI12))/(Datos!U12+Datos!AI12))," - ")</f>
        <v>-0.20071047957371227</v>
      </c>
      <c r="E12" s="456">
        <f>IF(ISNUMBER(
   IF(J_V="SI",(Datos!L12-Datos!V12)/Datos!V12,(Datos!L12+Datos!AB12-(Datos!V12+Datos!AJ12))/(Datos!V12+Datos!AJ12))
     ),IF(J_V="SI",(Datos!L12-Datos!V12)/Datos!V12,(Datos!L12+Datos!AB12-(Datos!V12+Datos!AJ12))/(Datos!V12+Datos!AJ12))," - ")</f>
        <v>0.39622641509433965</v>
      </c>
      <c r="F12" s="456">
        <f>IF(ISNUMBER((Datos!M12-Datos!W12)/Datos!W12),(Datos!M12-Datos!W12)/Datos!W12," - ")</f>
        <v>0.8571428571428571</v>
      </c>
      <c r="G12" s="457">
        <f>IF(ISNUMBER((Datos!N12-Datos!X12)/Datos!X12),(Datos!N12-Datos!X12)/Datos!X12," - ")</f>
        <v>-0.93624161073825507</v>
      </c>
      <c r="H12" s="455">
        <f>IF(ISNUMBER(((NºAsuntos!G12/NºAsuntos!E12)-Datos!BD12)/Datos!BD12),((NºAsuntos!G12/NºAsuntos!E12)-Datos!BD12)/Datos!BD12," - ")</f>
        <v>-0.29589304841836939</v>
      </c>
      <c r="I12" s="456">
        <f>IF(ISNUMBER(((NºAsuntos!I12/NºAsuntos!G12)-Datos!BE12)/Datos!BE12),((NºAsuntos!I12/NºAsuntos!G12)-Datos!BE12)/Datos!BE12," - ")</f>
        <v>0.74683438155136295</v>
      </c>
      <c r="J12" s="461">
        <f>IF(ISNUMBER((('Resol  Asuntos'!D12/NºAsuntos!G12)-Datos!BF12)/Datos!BF12),(('Resol  Asuntos'!D12/NºAsuntos!G12)-Datos!BF12)/Datos!BF12," - ")</f>
        <v>-0.45421327367636094</v>
      </c>
      <c r="K12" s="462">
        <f>IF(ISNUMBER((((NºAsuntos!C12+NºAsuntos!E12)/NºAsuntos!G12)-Datos!BG12)/Datos!BG12),(((NºAsuntos!C12+NºAsuntos!E12)/NºAsuntos!G12)-Datos!BG12)/Datos!BG12," - ")</f>
        <v>0.53596790371113356</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0.26676076217360623</v>
      </c>
      <c r="C13" s="855">
        <f>IF(ISNUMBER(
   IF(J_V="SI",(Datos!J13-Datos!T13)/Datos!T13,(Datos!J13+Datos!Z13-(Datos!T13+Datos!AH13))/(Datos!T13+Datos!AH13))
     ),IF(J_V="SI",(Datos!J13-Datos!T13)/Datos!T13,(Datos!J13+Datos!Z13-(Datos!T13+Datos!AH13))/(Datos!T13+Datos!AH13))," - ")</f>
        <v>0.13840830449826991</v>
      </c>
      <c r="D13" s="855">
        <f>IF(ISNUMBER(
   IF(J_V="SI",(Datos!K13-Datos!U13)/Datos!U13,(Datos!K13+Datos!AA13-(Datos!U13+Datos!AI13))/(Datos!U13+Datos!AI13))
     ),IF(J_V="SI",(Datos!K13-Datos!U13)/Datos!U13,(Datos!K13+Datos!AA13-(Datos!U13+Datos!AI13))/(Datos!U13+Datos!AI13))," - ")</f>
        <v>-0.20071047957371227</v>
      </c>
      <c r="E13" s="855">
        <f>IF(ISNUMBER(
   IF(J_V="SI",(Datos!L13-Datos!V13)/Datos!V13,(Datos!L13+Datos!AB13-(Datos!V13+Datos!AJ13))/(Datos!V13+Datos!AJ13))
     ),IF(J_V="SI",(Datos!L13-Datos!V13)/Datos!V13,(Datos!L13+Datos!AB13-(Datos!V13+Datos!AJ13))/(Datos!V13+Datos!AJ13))," - ")</f>
        <v>0.39874301675977653</v>
      </c>
      <c r="F13" s="856">
        <f>IF(ISNUMBER((Datos!M13-Datos!W13)/Datos!W13),(Datos!M13-Datos!W13)/Datos!W13," - ")</f>
        <v>0.8571428571428571</v>
      </c>
      <c r="G13" s="857">
        <f>IF(ISNUMBER((Datos!N13-Datos!X13)/Datos!X13),(Datos!N13-Datos!X13)/Datos!X13," - ")</f>
        <v>-0.93624161073825507</v>
      </c>
      <c r="H13" s="857">
        <f>IF(ISNUMBER(((NºAsuntos!G13/NºAsuntos!E13)-Datos!BD13)/Datos!BD13),((NºAsuntos!G13/NºAsuntos!E13)-Datos!BD13)/Datos!BD13," - ")</f>
        <v>-0.29788853676839777</v>
      </c>
      <c r="I13" s="857">
        <f>IF(ISNUMBER(((NºAsuntos!I13/NºAsuntos!G13)-Datos!BE13)/Datos!BE13),((NºAsuntos!I13/NºAsuntos!G13)-Datos!BE13)/Datos!BE13," - ")</f>
        <v>0.74998292985723181</v>
      </c>
      <c r="J13" s="857">
        <f>IF(ISNUMBER((('Resol  Asuntos'!D13/NºAsuntos!G13)-Datos!BF13)/Datos!BF13),(('Resol  Asuntos'!D13/NºAsuntos!G13)-Datos!BF13)/Datos!BF13," - ")</f>
        <v>-0.45421327367636094</v>
      </c>
      <c r="K13" s="857">
        <f>IF(ISNUMBER((((NºAsuntos!C13+NºAsuntos!E13)/NºAsuntos!G13)-Datos!BG13)/Datos!BG13),(((NºAsuntos!C13+NºAsuntos!E13)/NºAsuntos!G13)-Datos!BG13)/Datos!BG13," - ")</f>
        <v>0.53833361180729622</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-8.1593927893738136E-2</v>
      </c>
      <c r="C16" s="456">
        <f>IF(ISNUMBER(
   IF(D_I="SI",(Datos!J16-Datos!T16)/Datos!T16,(Datos!J16+Datos!AD16-(Datos!T16+Datos!AL16))/(Datos!T16+Datos!AL16))
     ),IF(D_I="SI",(Datos!J16-Datos!T16)/Datos!T16,(Datos!J16+Datos!AD16-(Datos!T16+Datos!AL16))/(Datos!T16+Datos!AL16))," - ")</f>
        <v>0.40206185567010311</v>
      </c>
      <c r="D16" s="456">
        <f>IF(ISNUMBER(
   IF(D_I="SI",(Datos!K16-Datos!U16)/Datos!U16,(Datos!K16+Datos!AE16-(Datos!U16+Datos!AM16))/(Datos!U16+Datos!AM16))
     ),IF(D_I="SI",(Datos!K16-Datos!U16)/Datos!U16,(Datos!K16+Datos!AE16-(Datos!U16+Datos!AM16))/(Datos!U16+Datos!AM16))," - ")</f>
        <v>-5.0909090909090911E-2</v>
      </c>
      <c r="E16" s="456">
        <f>IF(ISNUMBER(
   IF(D_I="SI",(Datos!L16-Datos!V16)/Datos!V16,(Datos!L16+Datos!AF16-(Datos!V16+Datos!AN16))/(Datos!V16+Datos!AN16))
     ),IF(D_I="SI",(Datos!L16-Datos!V16)/Datos!V16,(Datos!L16+Datos!AF16-(Datos!V16+Datos!AN16))/(Datos!V16+Datos!AN16))," - ")</f>
        <v>0.11581291759465479</v>
      </c>
      <c r="F16" s="456">
        <f>IF(ISNUMBER((Datos!M16-Datos!W16)/Datos!W16),(Datos!M16-Datos!W16)/Datos!W16," - ")</f>
        <v>-0.16666666666666666</v>
      </c>
      <c r="G16" s="457">
        <f>IF(ISNUMBER((Datos!N16-Datos!X16)/Datos!X16),(Datos!N16-Datos!X16)/Datos!X16," - ")</f>
        <v>-0.10784313725490197</v>
      </c>
      <c r="H16" s="455">
        <f>IF(ISNUMBER(((NºAsuntos!G16/NºAsuntos!E16)-Datos!BD16)/Datos!BD16),((NºAsuntos!G16/NºAsuntos!E16)-Datos!BD16)/Datos!BD16," - ")</f>
        <v>-0.32307486631016041</v>
      </c>
      <c r="I16" s="456">
        <f>IF(ISNUMBER(((NºAsuntos!I16/NºAsuntos!G16)-Datos!BE16)/Datos!BE16),((NºAsuntos!I16/NºAsuntos!G16)-Datos!BE16)/Datos!BE16," - ")</f>
        <v>0.17566495148862088</v>
      </c>
      <c r="J16" s="461">
        <f>IF(ISNUMBER((('Resol  Asuntos'!D16/NºAsuntos!G16)-Datos!BF16)/Datos!BF16),(('Resol  Asuntos'!D16/NºAsuntos!G16)-Datos!BF16)/Datos!BF16," - ")</f>
        <v>-0.12196679438058741</v>
      </c>
      <c r="K16" s="462">
        <f>IF(ISNUMBER((((NºAsuntos!C16+NºAsuntos!E16)/NºAsuntos!G16)-Datos!BG16)/Datos!BG16),(((NºAsuntos!C16+NºAsuntos!E16)/NºAsuntos!G16)-Datos!BG16)/Datos!BG16," - ")</f>
        <v>0.10478741211918323</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5.128205128205128E-2</v>
      </c>
      <c r="C17" s="456">
        <f>IF(ISNUMBER(
   IF(D_I="SI",(Datos!J17-Datos!T17)/Datos!T17,(Datos!J17+Datos!AD17-(Datos!T17+Datos!AL17))/(Datos!T17+Datos!AL17))
     ),IF(D_I="SI",(Datos!J17-Datos!T17)/Datos!T17,(Datos!J17+Datos!AD17-(Datos!T17+Datos!AL17))/(Datos!T17+Datos!AL17))," - ")</f>
        <v>-0.17241379310344829</v>
      </c>
      <c r="D17" s="456">
        <f>IF(ISNUMBER(
   IF(D_I="SI",(Datos!K17-Datos!U17)/Datos!U17,(Datos!K17+Datos!AE17-(Datos!U17+Datos!AM17))/(Datos!U17+Datos!AM17))
     ),IF(D_I="SI",(Datos!K17-Datos!U17)/Datos!U17,(Datos!K17+Datos!AE17-(Datos!U17+Datos!AM17))/(Datos!U17+Datos!AM17))," - ")</f>
        <v>3.4482758620689655E-2</v>
      </c>
      <c r="E17" s="456">
        <f>IF(ISNUMBER(
   IF(D_I="SI",(Datos!L17-Datos!V17)/Datos!V17,(Datos!L17+Datos!AF17-(Datos!V17+Datos!AN17))/(Datos!V17+Datos!AN17))
     ),IF(D_I="SI",(Datos!L17-Datos!V17)/Datos!V17,(Datos!L17+Datos!AF17-(Datos!V17+Datos!AN17))/(Datos!V17+Datos!AN17))," - ")</f>
        <v>-0.10256410256410256</v>
      </c>
      <c r="F17" s="456">
        <f>IF(ISNUMBER((Datos!M17-Datos!W17)/Datos!W17),(Datos!M17-Datos!W17)/Datos!W17," - ")</f>
        <v>-0.6</v>
      </c>
      <c r="G17" s="457">
        <f>IF(ISNUMBER((Datos!N17-Datos!X17)/Datos!X17),(Datos!N17-Datos!X17)/Datos!X17," - ")</f>
        <v>-0.31818181818181818</v>
      </c>
      <c r="H17" s="455">
        <f>IF(ISNUMBER(((NºAsuntos!G17/NºAsuntos!E17)-Datos!BD17)/Datos!BD17),((NºAsuntos!G17/NºAsuntos!E17)-Datos!BD17)/Datos!BD17," - ")</f>
        <v>0.25</v>
      </c>
      <c r="I17" s="456">
        <f>IF(ISNUMBER(((NºAsuntos!I17/NºAsuntos!G17)-Datos!BE17)/Datos!BE17),((NºAsuntos!I17/NºAsuntos!G17)-Datos!BE17)/Datos!BE17," - ")</f>
        <v>-0.13247863247863245</v>
      </c>
      <c r="J17" s="461">
        <f>IF(ISNUMBER((('Resol  Asuntos'!D17/NºAsuntos!G17)-Datos!BF17)/Datos!BF17),(('Resol  Asuntos'!D17/NºAsuntos!G17)-Datos!BF17)/Datos!BF17," - ")</f>
        <v>-0.61333333333333329</v>
      </c>
      <c r="K17" s="462">
        <f>IF(ISNUMBER((((NºAsuntos!C17+NºAsuntos!E17)/NºAsuntos!G17)-Datos!BG17)/Datos!BG17),(((NºAsuntos!C17+NºAsuntos!E17)/NºAsuntos!G17)-Datos!BG17)/Datos!BG17," - ")</f>
        <v>-7.5980392156862725E-2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-7.2438162544169613E-2</v>
      </c>
      <c r="C18" s="855">
        <f>IF(ISNUMBER(
   IF(Criterios!B14="SI",(Datos!J18-Datos!T18)/Datos!T18,(Datos!J18+Datos!AD18-(Datos!T18+Datos!AL18))/(Datos!T18+Datos!AL18))
     ),IF(Criterios!B14="SI",(Datos!J18-Datos!T18)/Datos!T18,(Datos!J18+Datos!AD18-(Datos!T18+Datos!AL18))/(Datos!T18+Datos!AL18))," - ")</f>
        <v>0.3273542600896861</v>
      </c>
      <c r="D18" s="855">
        <f>IF(ISNUMBER(
   IF(Criterios!B14="SI",(Datos!K18-Datos!U18)/Datos!U18,(Datos!K18+Datos!AE18-(Datos!U18+Datos!AM18))/(Datos!U18+Datos!AM18))
     ),IF(Criterios!B14="SI",(Datos!K18-Datos!U18)/Datos!U18,(Datos!K18+Datos!AE18-(Datos!U18+Datos!AM18))/(Datos!U18+Datos!AM18))," - ")</f>
        <v>-4.2763157894736843E-2</v>
      </c>
      <c r="E18" s="855">
        <f>IF(ISNUMBER(
   IF(Criterios!B14="SI",(Datos!L18-Datos!V18)/Datos!V18,(Datos!L18+Datos!AF18-(Datos!V18+Datos!AN18))/(Datos!V18+Datos!AN18))
     ),IF(Criterios!B14="SI",(Datos!L18-Datos!V18)/Datos!V18,(Datos!L18+Datos!AF18-(Datos!V18+Datos!AN18))/(Datos!V18+Datos!AN18))," - ")</f>
        <v>9.8360655737704916E-2</v>
      </c>
      <c r="F18" s="856">
        <f>IF(ISNUMBER((Datos!M18-Datos!W18)/Datos!W18),(Datos!M18-Datos!W18)/Datos!W18," - ")</f>
        <v>-0.31111111111111112</v>
      </c>
      <c r="G18" s="857">
        <f>IF(ISNUMBER((Datos!N18-Datos!X18)/Datos!X18),(Datos!N18-Datos!X18)/Datos!X18," - ")</f>
        <v>-0.12831858407079647</v>
      </c>
      <c r="H18" s="857">
        <f>IF(ISNUMBER(((NºAsuntos!G18/NºAsuntos!E18)-Datos!BD18)/Datos!BD18),((NºAsuntos!G18/NºAsuntos!E18)-Datos!BD18)/Datos!BD18," - ")</f>
        <v>-0.27883846017069697</v>
      </c>
      <c r="I18" s="857">
        <f>IF(ISNUMBER(((NºAsuntos!I18/NºAsuntos!G18)-Datos!BE18)/Datos!BE18),((NºAsuntos!I18/NºAsuntos!G18)-Datos!BE18)/Datos!BE18," - ")</f>
        <v>0.14742831389780844</v>
      </c>
      <c r="J18" s="857">
        <f>IF(ISNUMBER((('Resol  Asuntos'!D18/NºAsuntos!G18)-Datos!BF18)/Datos!BF18),(('Resol  Asuntos'!D18/NºAsuntos!G18)-Datos!BF18)/Datos!BF18," - ")</f>
        <v>-0.28033600610920195</v>
      </c>
      <c r="K18" s="857">
        <f>IF(ISNUMBER((((NºAsuntos!C18+NºAsuntos!E18)/NºAsuntos!G18)-Datos!BG18)/Datos!BG18),(((NºAsuntos!C18+NºAsuntos!E18)/NºAsuntos!G18)-Datos!BG18)/Datos!BG18," - ")</f>
        <v>8.7043062034242363E-2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0.16994452849218356</v>
      </c>
      <c r="C19" s="802">
        <f>IF(ISNUMBER(
   IF(J_V="SI",(Datos!J19-Datos!T19)/Datos!T19,(Datos!J19+Datos!Z19-(Datos!T19+Datos!AH19))/(Datos!T19+Datos!AH19))
     ),IF(J_V="SI",(Datos!J19-Datos!T19)/Datos!T19,(Datos!J19+Datos!Z19-(Datos!T19+Datos!AH19))/(Datos!T19+Datos!AH19))," - ")</f>
        <v>0.19101123595505617</v>
      </c>
      <c r="D19" s="802">
        <f>IF(ISNUMBER(
   IF(J_V="SI",(Datos!K19-Datos!U19)/Datos!U19,(Datos!K19+Datos!AA19-(Datos!U19+Datos!AI19))/(Datos!U19+Datos!AI19))
     ),IF(J_V="SI",(Datos!K19-Datos!U19)/Datos!U19,(Datos!K19+Datos!AA19-(Datos!U19+Datos!AI19))/(Datos!U19+Datos!AI19))," - ")</f>
        <v>-0.1453287197231834</v>
      </c>
      <c r="E19" s="802">
        <f>IF(ISNUMBER(
   IF(J_V="SI",(Datos!L19-Datos!V19)/Datos!V19,(Datos!L19+Datos!AB19-(Datos!V19+Datos!AJ19))/(Datos!V19+Datos!AJ19))
     ),IF(J_V="SI",(Datos!L19-Datos!V19)/Datos!V19,(Datos!L19+Datos!AB19-(Datos!V19+Datos!AJ19))/(Datos!V19+Datos!AJ19))," - ")</f>
        <v>0.32239583333333333</v>
      </c>
      <c r="F19" s="803">
        <f>IF(ISNUMBER((Datos!M19-Datos!W19)/Datos!W19),(Datos!M19-Datos!W19)/Datos!W19," - ")</f>
        <v>0.4</v>
      </c>
      <c r="G19" s="804">
        <f>IF(ISNUMBER((Datos!N19-Datos!X19)/Datos!X19),(Datos!N19-Datos!X19)/Datos!X19," - ")</f>
        <v>-0.58778625954198471</v>
      </c>
      <c r="H19" s="805">
        <f>IF(ISNUMBER((Tasas!B19-Datos!BD19)/Datos!BD19),(Tasas!B19-Datos!BD19)/Datos!BD19," - ")</f>
        <v>-0.28239864203172937</v>
      </c>
      <c r="I19" s="806">
        <f>IF(ISNUMBER((Tasas!C19-Datos!BE19)/Datos!BE19),(Tasas!C19-Datos!BE19)/Datos!BE19," - ")</f>
        <v>0.54725666329284739</v>
      </c>
      <c r="J19" s="807">
        <f>IF(ISNUMBER((Tasas!D19-Datos!BF19)/Datos!BF19),(Tasas!D19-Datos!BF19)/Datos!BF19," - ")</f>
        <v>-0.45079732297777408</v>
      </c>
      <c r="K19" s="807">
        <f>IF(ISNUMBER((Tasas!E19-Datos!BG19)/Datos!BG19),(Tasas!E19-Datos!BG19)/Datos!BG19," - ")</f>
        <v>0.37597433570664057</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KBj1b+ybp6gX7x6tgxP3Luo1Wi58edokK5eNV4PAhbV4oju74WjULYIy6DlvujCd95UaFtURAEStUoNT2jYxoQ==" saltValue="nFHG9jKhu4uHLk3db0jPg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CIUDAD REAL</v>
      </c>
    </row>
    <row r="4" spans="1:7" ht="11.25" customHeight="1" thickBot="1">
      <c r="B4" s="391" t="str">
        <f>Criterios!A11 &amp;"  "&amp;Criterios!B11</f>
        <v>Resumenes por Partidos Judiciales  ALMAGRO</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0.68702290076335881</v>
      </c>
      <c r="C12" s="443">
        <f>IF(ISNUMBER(NºAsuntos!I12/NºAsuntos!G12),NºAsuntos!I12/NºAsuntos!G12," - ")</f>
        <v>4.4400000000000004</v>
      </c>
      <c r="D12" s="444">
        <f>IF(ISNUMBER('Resol  Asuntos'!D12/NºAsuntos!G12),'Resol  Asuntos'!D12/NºAsuntos!G12," - ")</f>
        <v>0.28888888888888886</v>
      </c>
      <c r="E12" s="445">
        <f>IF(ISNUMBER((NºAsuntos!C12+NºAsuntos!E12)/NºAsuntos!G12),(NºAsuntos!C12+NºAsuntos!E12)/NºAsuntos!G12," - ")</f>
        <v>5.44</v>
      </c>
      <c r="G12" s="463"/>
    </row>
    <row r="13" spans="1:7" ht="14.25" thickTop="1" thickBot="1">
      <c r="A13" s="848" t="str">
        <f>Datos!A13</f>
        <v>TOTAL</v>
      </c>
      <c r="B13" s="858">
        <f>IF(ISNUMBER(NºAsuntos!G13/NºAsuntos!E13),NºAsuntos!G13/NºAsuntos!E13," - ")</f>
        <v>0.68389057750759874</v>
      </c>
      <c r="C13" s="859">
        <f>IF(ISNUMBER(NºAsuntos!I13/NºAsuntos!G13),NºAsuntos!I13/NºAsuntos!G13," - ")</f>
        <v>4.4511111111111115</v>
      </c>
      <c r="D13" s="860">
        <f>IF(ISNUMBER('Resol  Asuntos'!D13/NºAsuntos!G13),'Resol  Asuntos'!D13/NºAsuntos!G13," - ")</f>
        <v>0.28888888888888886</v>
      </c>
      <c r="E13" s="861">
        <f>IF(ISNUMBER((NºAsuntos!C13+NºAsuntos!E13)/NºAsuntos!G13),(NºAsuntos!C13+NºAsuntos!E13)/NºAsuntos!G13," - ")</f>
        <v>5.4511111111111115</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0.9595588235294118</v>
      </c>
      <c r="C16" s="443">
        <f>IF(ISNUMBER(NºAsuntos!I16/NºAsuntos!G16),NºAsuntos!I16/NºAsuntos!G16," - ")</f>
        <v>1.9195402298850575</v>
      </c>
      <c r="D16" s="444">
        <f>IF(ISNUMBER('Resol  Asuntos'!D16/NºAsuntos!G16),'Resol  Asuntos'!D16/NºAsuntos!G16," - ")</f>
        <v>9.5785440613026823E-2</v>
      </c>
      <c r="E16" s="445">
        <f>IF(ISNUMBER((NºAsuntos!C16+NºAsuntos!E16)/NºAsuntos!G16),(NºAsuntos!C16+NºAsuntos!E16)/NºAsuntos!G16," - ")</f>
        <v>2.896551724137931</v>
      </c>
      <c r="G16" s="463"/>
    </row>
    <row r="17" spans="1:7" ht="13.5" thickBot="1">
      <c r="A17" s="402" t="str">
        <f>Datos!A17</f>
        <v>Jdos. Violencia contra la mujer</v>
      </c>
      <c r="B17" s="442">
        <f>IF(ISNUMBER(NºAsuntos!G17/NºAsuntos!E17),NºAsuntos!G17/NºAsuntos!E17," - ")</f>
        <v>1.25</v>
      </c>
      <c r="C17" s="443">
        <f>IF(ISNUMBER(NºAsuntos!I17/NºAsuntos!G17),NºAsuntos!I17/NºAsuntos!G17," - ")</f>
        <v>1.1666666666666667</v>
      </c>
      <c r="D17" s="444">
        <f>IF(ISNUMBER('Resol  Asuntos'!D17/NºAsuntos!G17),'Resol  Asuntos'!D17/NºAsuntos!G17," - ")</f>
        <v>0.2</v>
      </c>
      <c r="E17" s="445">
        <f>IF(ISNUMBER((NºAsuntos!C17+NºAsuntos!E17)/NºAsuntos!G17),(NºAsuntos!C17+NºAsuntos!E17)/NºAsuntos!G17," - ")</f>
        <v>2.1666666666666665</v>
      </c>
      <c r="G17" s="463"/>
    </row>
    <row r="18" spans="1:7" ht="14.25" thickTop="1" thickBot="1">
      <c r="A18" s="848" t="str">
        <f>Datos!A18</f>
        <v>TOTAL</v>
      </c>
      <c r="B18" s="858">
        <f>IF(ISNUMBER(NºAsuntos!G18/NºAsuntos!E18),NºAsuntos!G18/NºAsuntos!E18," - ")</f>
        <v>0.98310810810810811</v>
      </c>
      <c r="C18" s="859">
        <f>IF(ISNUMBER(NºAsuntos!I18/NºAsuntos!G18),NºAsuntos!I18/NºAsuntos!G18," - ")</f>
        <v>1.8419243986254294</v>
      </c>
      <c r="D18" s="862">
        <f>IF(ISNUMBER('Resol  Asuntos'!D18/NºAsuntos!G18),'Resol  Asuntos'!D18/NºAsuntos!G18," - ")</f>
        <v>0.10652920962199312</v>
      </c>
      <c r="E18" s="861">
        <f>IF(ISNUMBER((NºAsuntos!C18+NºAsuntos!E18)/NºAsuntos!G18),(NºAsuntos!C18+NºAsuntos!E18)/NºAsuntos!G18," - ")</f>
        <v>2.8213058419243988</v>
      </c>
      <c r="G18" s="463"/>
    </row>
    <row r="19" spans="1:7" ht="15.75" customHeight="1" thickTop="1" thickBot="1">
      <c r="A19" s="793" t="str">
        <f>Datos!A19</f>
        <v>TOTAL JURISDICCIONES</v>
      </c>
      <c r="B19" s="808">
        <f>IF(ISNUMBER(NºAsuntos!G19/NºAsuntos!E19),NºAsuntos!G19/NºAsuntos!E19," - ")</f>
        <v>0.77672955974842772</v>
      </c>
      <c r="C19" s="809">
        <f>IF(ISNUMBER(NºAsuntos!I19/NºAsuntos!G19),NºAsuntos!I19/NºAsuntos!G19," - ")</f>
        <v>3.426450742240216</v>
      </c>
      <c r="D19" s="810">
        <f>IF(ISNUMBER('Resol  Asuntos'!D19/NºAsuntos!G19),'Resol  Asuntos'!D19/NºAsuntos!G19," - ")</f>
        <v>0.21727395411605938</v>
      </c>
      <c r="E19" s="811">
        <f>IF(ISNUMBER((NºAsuntos!C19+NºAsuntos!E19)/NºAsuntos!G19),(NºAsuntos!C19+NºAsuntos!E19)/NºAsuntos!G19," - ")</f>
        <v>4.4183535762483128</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L0IX6uW2rotLu6Qa1PQa5aAp7msJBob0xaGxTdNUgjm3ReGk7UADF/XBL6W1Z7EZEz9PePbOc21SGXLMJWoDWA==" saltValue="I8Kqks+AUC1I6d2XWb+1F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CIUDAD REAL</v>
      </c>
      <c r="N2" s="262" t="str">
        <f>Criterios!A11 &amp;"  "&amp;Criterios!B11</f>
        <v>Resumenes por Partidos Judiciales  ALMAGRO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2</v>
      </c>
      <c r="G10" s="333">
        <f>IF(ISNUMBER(Datos!I10),Datos!I10," - ")</f>
        <v>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5</v>
      </c>
      <c r="AB10" s="334">
        <f>IF(ISNUMBER(Datos!R10),Datos!R10," - ")</f>
        <v>0</v>
      </c>
      <c r="AC10" s="334">
        <f t="shared" ref="AC10:AC12" si="1">IF(ISNUMBER(AA10+AB10),AA10+AB10," - ")</f>
        <v>5</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89</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41</v>
      </c>
      <c r="Y12" s="334">
        <f t="shared" si="0"/>
        <v>41</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1753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130</v>
      </c>
      <c r="AJ12" s="229" t="str">
        <f>IF(ISNUMBER(Datos!BW12),Datos!BW12," - ")</f>
        <v xml:space="preserve"> - </v>
      </c>
      <c r="AK12" s="228" t="str">
        <f>IF(ISNUMBER(Datos!BX12),Datos!BX12," - ")</f>
        <v xml:space="preserve"> - </v>
      </c>
      <c r="AL12" s="243">
        <f>IF(ISNUMBER(NºAsuntos!G12/NºAsuntos!E12),NºAsuntos!G12/NºAsuntos!E12," - ")</f>
        <v>0.68702290076335881</v>
      </c>
      <c r="AM12" s="260">
        <f>IF(ISNUMBER(((NºAsuntos!I12/NºAsuntos!G12)*11)/factor_trimestre),((NºAsuntos!I12/NºAsuntos!G12)*11)/factor_trimestre," - ")</f>
        <v>13.320000000000002</v>
      </c>
      <c r="AN12" s="244">
        <f>IF(ISNUMBER('Resol  Asuntos'!D12/NºAsuntos!G12),'Resol  Asuntos'!D12/NºAsuntos!G12," - ")</f>
        <v>0.28888888888888886</v>
      </c>
      <c r="AO12" s="245">
        <f>IF(ISNUMBER((NºAsuntos!C12+NºAsuntos!E12)/NºAsuntos!G12),(NºAsuntos!C12+NºAsuntos!E12)/NºAsuntos!G12," - ")</f>
        <v>5.44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2</v>
      </c>
      <c r="G13" s="866">
        <f t="shared" si="3"/>
        <v>2</v>
      </c>
      <c r="H13" s="865">
        <f t="shared" si="3"/>
        <v>0</v>
      </c>
      <c r="I13" s="867">
        <f t="shared" si="3"/>
        <v>0</v>
      </c>
      <c r="J13" s="867">
        <f t="shared" si="3"/>
        <v>0</v>
      </c>
      <c r="K13" s="867">
        <f t="shared" si="3"/>
        <v>0</v>
      </c>
      <c r="L13" s="867">
        <f t="shared" si="3"/>
        <v>89</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41</v>
      </c>
      <c r="Y13" s="868">
        <f t="shared" si="4"/>
        <v>41</v>
      </c>
      <c r="Z13" s="868">
        <f t="shared" si="4"/>
        <v>0</v>
      </c>
      <c r="AA13" s="868">
        <f t="shared" si="4"/>
        <v>5</v>
      </c>
      <c r="AB13" s="868">
        <f t="shared" si="4"/>
        <v>1753</v>
      </c>
      <c r="AC13" s="868">
        <f t="shared" si="4"/>
        <v>5</v>
      </c>
      <c r="AD13" s="868">
        <f t="shared" si="4"/>
        <v>0</v>
      </c>
      <c r="AE13" s="872">
        <f t="shared" si="4"/>
        <v>0</v>
      </c>
      <c r="AF13" s="865">
        <f t="shared" si="4"/>
        <v>0</v>
      </c>
      <c r="AG13" s="873">
        <f t="shared" si="4"/>
        <v>0</v>
      </c>
      <c r="AH13" s="870">
        <f t="shared" si="4"/>
        <v>0</v>
      </c>
      <c r="AI13" s="865">
        <f t="shared" si="4"/>
        <v>130</v>
      </c>
      <c r="AJ13" s="867">
        <f t="shared" si="4"/>
        <v>0</v>
      </c>
      <c r="AK13" s="870">
        <f>SUBTOTAL(9,AK9:AK12)</f>
        <v>0</v>
      </c>
      <c r="AL13" s="874">
        <f>IF(ISNUMBER(NºAsuntos!G13/NºAsuntos!E13),NºAsuntos!G13/NºAsuntos!E13," - ")</f>
        <v>0.68389057750759874</v>
      </c>
      <c r="AM13" s="874">
        <f>IF(ISNUMBER(((NºAsuntos!I13/NºAsuntos!G13)*11)/factor_trimestre),((NºAsuntos!I13/NºAsuntos!G13)*11)/factor_trimestre," - ")</f>
        <v>13.353333333333333</v>
      </c>
      <c r="AN13" s="875">
        <f>IF(ISNUMBER('Resol  Asuntos'!D13/NºAsuntos!G13),'Resol  Asuntos'!D13/NºAsuntos!G13," - ")</f>
        <v>0.28888888888888886</v>
      </c>
      <c r="AO13" s="876">
        <f>IF(ISNUMBER((NºAsuntos!C13+NºAsuntos!E13)/NºAsuntos!G13),(NºAsuntos!C13+NºAsuntos!E13)/NºAsuntos!G13," - ")</f>
        <v>5.4511111111111115</v>
      </c>
      <c r="AP13" s="877" t="str">
        <f t="shared" si="2"/>
        <v xml:space="preserve"> - </v>
      </c>
      <c r="AQ13" s="877">
        <f>IF(ISNUMBER((H13-W13+K13)/(F13)),(H13-W13+K13)/(F13)," - ")</f>
        <v>0</v>
      </c>
      <c r="AR13" s="878">
        <f>IF(ISNUMBER((Datos!P13-Datos!Q13)/(Datos!R13-Datos!P13+Datos!Q13)),(Datos!P13-Datos!Q13)/(Datos!R13-Datos!P13+Datos!Q13)," - ")</f>
        <v>2.8152492668621701E-2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490</v>
      </c>
      <c r="G16" s="333">
        <f>IF(ISNUMBER(IF(D_I="SI",Datos!I16,Datos!I16+Datos!AC16)),IF(D_I="SI",Datos!I16,Datos!I16+Datos!AC16)," - ")</f>
        <v>484</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261</v>
      </c>
      <c r="X16" s="226">
        <f>IF(ISNUMBER(Datos!Q16),Datos!Q16," - ")</f>
        <v>0</v>
      </c>
      <c r="Y16" s="334">
        <f t="shared" ref="Y16:Y17" si="7">SUM(W16:X16)</f>
        <v>261</v>
      </c>
      <c r="Z16" s="335" t="str">
        <f>IF(ISNUMBER(Datos!CC16),Datos!CC16," - ")</f>
        <v xml:space="preserve"> - </v>
      </c>
      <c r="AA16" s="332">
        <f>IF(ISNUMBER(IF(D_I="SI",Datos!L16,Datos!L16+Datos!AF16)),IF(D_I="SI",Datos!L16,Datos!L16+Datos!AF16)," - ")</f>
        <v>501</v>
      </c>
      <c r="AB16" s="334">
        <f>IF(ISNUMBER(Datos!R16),Datos!R16," - ")</f>
        <v>48</v>
      </c>
      <c r="AC16" s="334">
        <f t="shared" si="6"/>
        <v>549</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25</v>
      </c>
      <c r="AJ16" s="231" t="str">
        <f>IF(ISNUMBER(Datos!BW16),Datos!BW16," - ")</f>
        <v xml:space="preserve"> - </v>
      </c>
      <c r="AK16" s="232" t="str">
        <f>IF(ISNUMBER(Datos!BX16),Datos!BX16," - ")</f>
        <v xml:space="preserve"> - </v>
      </c>
      <c r="AL16" s="243">
        <f>IF(ISNUMBER(NºAsuntos!G16/NºAsuntos!E16),NºAsuntos!G16/NºAsuntos!E16," - ")</f>
        <v>0.9595588235294118</v>
      </c>
      <c r="AM16" s="260">
        <f>IF(ISNUMBER(((NºAsuntos!I16/NºAsuntos!G16)*11)/factor_trimestre),((NºAsuntos!I16/NºAsuntos!G16)*11)/factor_trimestre," - ")</f>
        <v>5.7586206896551726</v>
      </c>
      <c r="AN16" s="244">
        <f>IF(ISNUMBER('Resol  Asuntos'!D16/NºAsuntos!G16),'Resol  Asuntos'!D16/NºAsuntos!G16," - ")</f>
        <v>9.5785440613026823E-2</v>
      </c>
      <c r="AO16" s="245">
        <f>IF(ISNUMBER((NºAsuntos!C16+NºAsuntos!E16)/NºAsuntos!G16),(NºAsuntos!C16+NºAsuntos!E16)/NºAsuntos!G16," - ")</f>
        <v>2.896551724137931</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30</v>
      </c>
      <c r="X17" s="226">
        <f>IF(ISNUMBER(Datos!Q17),Datos!Q17," - ")</f>
        <v>0</v>
      </c>
      <c r="Y17" s="334">
        <f t="shared" si="7"/>
        <v>30</v>
      </c>
      <c r="Z17" s="335" t="str">
        <f>IF(ISNUMBER(Datos!CC17),Datos!CC17," - ")</f>
        <v xml:space="preserve"> - </v>
      </c>
      <c r="AA17" s="332">
        <f>IF(ISNUMBER(Datos!L17),Datos!L17,"-")</f>
        <v>35</v>
      </c>
      <c r="AB17" s="334">
        <f>IF(ISNUMBER(Datos!R17),Datos!R17," - ")</f>
        <v>0</v>
      </c>
      <c r="AC17" s="334">
        <f t="shared" si="6"/>
        <v>35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6</v>
      </c>
      <c r="AJ17" s="231" t="str">
        <f>IF(ISNUMBER(Datos!BW17),Datos!BW17," - ")</f>
        <v xml:space="preserve"> - </v>
      </c>
      <c r="AK17" s="232" t="str">
        <f>IF(ISNUMBER(Datos!BX17),Datos!BX17," - ")</f>
        <v xml:space="preserve"> - </v>
      </c>
      <c r="AL17" s="243">
        <f>IF(ISNUMBER(NºAsuntos!G17/NºAsuntos!E17),NºAsuntos!G17/NºAsuntos!E17," - ")</f>
        <v>1.25</v>
      </c>
      <c r="AM17" s="260">
        <f>IF(ISNUMBER(((NºAsuntos!I17/NºAsuntos!G17)*11)/factor_trimestre),((NºAsuntos!I17/NºAsuntos!G17)*11)/factor_trimestre," - ")</f>
        <v>3.5000000000000004</v>
      </c>
      <c r="AN17" s="244">
        <f>IF(ISNUMBER('Resol  Asuntos'!D17/NºAsuntos!G17),'Resol  Asuntos'!D17/NºAsuntos!G17," - ")</f>
        <v>0.2</v>
      </c>
      <c r="AO17" s="245">
        <f>IF(ISNUMBER((NºAsuntos!C17+NºAsuntos!E17)/NºAsuntos!G17),(NºAsuntos!C17+NºAsuntos!E17)/NºAsuntos!G17," - ")</f>
        <v>2.1666666666666665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490</v>
      </c>
      <c r="G18" s="866">
        <f>SUBTOTAL(9,G15:G17)</f>
        <v>525</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291</v>
      </c>
      <c r="X18" s="867">
        <f t="shared" si="11"/>
        <v>0</v>
      </c>
      <c r="Y18" s="868">
        <f t="shared" si="11"/>
        <v>291</v>
      </c>
      <c r="Z18" s="868">
        <f t="shared" si="11"/>
        <v>0</v>
      </c>
      <c r="AA18" s="868">
        <f t="shared" si="11"/>
        <v>536</v>
      </c>
      <c r="AB18" s="868">
        <f t="shared" si="11"/>
        <v>48</v>
      </c>
      <c r="AC18" s="868">
        <f t="shared" si="11"/>
        <v>584</v>
      </c>
      <c r="AD18" s="868">
        <f t="shared" si="11"/>
        <v>0</v>
      </c>
      <c r="AE18" s="872">
        <f t="shared" si="11"/>
        <v>0</v>
      </c>
      <c r="AF18" s="865">
        <f t="shared" si="11"/>
        <v>0</v>
      </c>
      <c r="AG18" s="873">
        <f t="shared" si="11"/>
        <v>0</v>
      </c>
      <c r="AH18" s="870">
        <f t="shared" si="11"/>
        <v>0</v>
      </c>
      <c r="AI18" s="865">
        <f t="shared" si="11"/>
        <v>31</v>
      </c>
      <c r="AJ18" s="867">
        <f t="shared" si="11"/>
        <v>0</v>
      </c>
      <c r="AK18" s="870">
        <f t="shared" si="11"/>
        <v>0</v>
      </c>
      <c r="AL18" s="874">
        <f>IF(ISNUMBER(NºAsuntos!G18/NºAsuntos!E18),NºAsuntos!G18/NºAsuntos!E18," - ")</f>
        <v>0.98310810810810811</v>
      </c>
      <c r="AM18" s="874">
        <f>IF(ISNUMBER(((NºAsuntos!I18/NºAsuntos!G18)*11)/factor_trimestre),((NºAsuntos!I18/NºAsuntos!G18)*11)/factor_trimestre," - ")</f>
        <v>5.5257731958762886</v>
      </c>
      <c r="AN18" s="875">
        <f>IF(ISNUMBER('Resol  Asuntos'!D18/NºAsuntos!G18),'Resol  Asuntos'!D18/NºAsuntos!G18," - ")</f>
        <v>0.10652920962199312</v>
      </c>
      <c r="AO18" s="876">
        <f>IF(ISNUMBER((NºAsuntos!C18+NºAsuntos!E18)/NºAsuntos!G18),(NºAsuntos!C18+NºAsuntos!E18)/NºAsuntos!G18," - ")</f>
        <v>2.8213058419243988</v>
      </c>
      <c r="AP18" s="877" t="str">
        <f t="shared" si="2"/>
        <v xml:space="preserve"> - </v>
      </c>
      <c r="AQ18" s="877">
        <f>IF(ISNUMBER((H18-W18+K18)/(F18)),(H18-W18+K18)/(F18)," - ")</f>
        <v>-0.59387755102040818</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492</v>
      </c>
      <c r="G19" s="821">
        <f t="shared" si="13"/>
        <v>527</v>
      </c>
      <c r="H19" s="820">
        <f t="shared" si="13"/>
        <v>0</v>
      </c>
      <c r="I19" s="822">
        <f t="shared" si="13"/>
        <v>0</v>
      </c>
      <c r="J19" s="822">
        <f t="shared" si="13"/>
        <v>0</v>
      </c>
      <c r="K19" s="881">
        <f t="shared" si="13"/>
        <v>0</v>
      </c>
      <c r="L19" s="822">
        <f t="shared" si="13"/>
        <v>89</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291</v>
      </c>
      <c r="X19" s="821">
        <f t="shared" si="14"/>
        <v>41</v>
      </c>
      <c r="Y19" s="828">
        <f t="shared" si="14"/>
        <v>332</v>
      </c>
      <c r="Z19" s="828">
        <f t="shared" si="14"/>
        <v>0</v>
      </c>
      <c r="AA19" s="828">
        <f t="shared" si="14"/>
        <v>541</v>
      </c>
      <c r="AB19" s="828">
        <f t="shared" si="14"/>
        <v>1801</v>
      </c>
      <c r="AC19" s="828">
        <f t="shared" si="14"/>
        <v>589</v>
      </c>
      <c r="AD19" s="828">
        <f t="shared" si="14"/>
        <v>0</v>
      </c>
      <c r="AE19" s="830">
        <f t="shared" si="14"/>
        <v>0</v>
      </c>
      <c r="AF19" s="831">
        <f t="shared" si="14"/>
        <v>0</v>
      </c>
      <c r="AG19" s="832">
        <f t="shared" si="14"/>
        <v>0</v>
      </c>
      <c r="AH19" s="830">
        <f t="shared" si="14"/>
        <v>0</v>
      </c>
      <c r="AI19" s="820">
        <f t="shared" si="14"/>
        <v>161</v>
      </c>
      <c r="AJ19" s="820">
        <f t="shared" si="14"/>
        <v>0</v>
      </c>
      <c r="AK19" s="830">
        <f t="shared" si="14"/>
        <v>0</v>
      </c>
      <c r="AL19" s="884">
        <f>IF(ISNUMBER(NºAsuntos!G19/NºAsuntos!E19),NºAsuntos!G19/NºAsuntos!E19," - ")</f>
        <v>0.77672955974842772</v>
      </c>
      <c r="AM19" s="885">
        <f>IF(ISNUMBER(((NºAsuntos!I19/NºAsuntos!G19)*11)/factor_trimestre),((NºAsuntos!I19/NºAsuntos!G19)*11)/factor_trimestre," - ")</f>
        <v>10.279352226720649</v>
      </c>
      <c r="AN19" s="885">
        <f>IF(ISNUMBER('Resol  Asuntos'!D19/NºAsuntos!G19),'Resol  Asuntos'!D19/NºAsuntos!G19," - ")</f>
        <v>0.21727395411605938</v>
      </c>
      <c r="AO19" s="886">
        <f>IF(ISNUMBER((NºAsuntos!C19+NºAsuntos!E19)/NºAsuntos!G19),(NºAsuntos!C19+NºAsuntos!E19)/NºAsuntos!G19," - ")</f>
        <v>4.4183535762483128</v>
      </c>
      <c r="AP19" s="887" t="str">
        <f t="shared" si="2"/>
        <v xml:space="preserve"> - </v>
      </c>
      <c r="AQ19" s="888">
        <f>IF(OR(ISNUMBER(FIND("01",Criterios!A8,1)),ISNUMBER(FIND("02",Criterios!A8,1)),ISNUMBER(FIND("03",Criterios!A8,1)),ISNUMBER(FIND("04",Criterios!A8,1))),(I19-W19+K19)/(F19-K19),(H19-W19+K19)/(F19-K19))</f>
        <v>-0.59146341463414631</v>
      </c>
      <c r="AR19" s="889">
        <f>IF(ISNUMBER((Datos!P19-Datos!Q19)/(Datos!R19-Datos!P19+Datos!Q19)),(Datos!P19-Datos!Q19)/(Datos!R19-Datos!P19+Datos!Q19)," - ")</f>
        <v>2.7381631488876214E-2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210.8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281.74693136453737</v>
      </c>
      <c r="G21" s="253">
        <f>IF(ISNUMBER(STDEV(G8:G18)),STDEV(G8:G18),"-")</f>
        <v>268.97341876103667</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146.59229174823619</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60.235094975161005</v>
      </c>
      <c r="AJ21" s="252">
        <f t="shared" si="18"/>
        <v>0</v>
      </c>
      <c r="AK21" s="254">
        <f t="shared" si="18"/>
        <v>0</v>
      </c>
      <c r="AL21" s="249">
        <f t="shared" si="18"/>
        <v>0.4285830413353498</v>
      </c>
      <c r="AM21" s="250">
        <f t="shared" si="18"/>
        <v>4.6885809031075709</v>
      </c>
      <c r="AN21" s="250">
        <f t="shared" si="18"/>
        <v>9.3968970800774945E-2</v>
      </c>
      <c r="AO21" s="251">
        <f t="shared" si="18"/>
        <v>1.5690394212252168</v>
      </c>
      <c r="AP21" s="291" t="str">
        <f t="shared" si="18"/>
        <v>-</v>
      </c>
      <c r="AQ21" s="292">
        <f t="shared" si="18"/>
        <v>0.41993484352099048</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SRt+jDYri3CvCn8h5/Snf4m3RTxMMoDhMsiyO23ckvpFrvcJPfBOQ0/vfhUeSeKcXBcGSj3Uhuarj51OhLrrWQ==" saltValue="HyOvd41yQPdWPnQYQW5MFw=="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CIUDAD REAL</v>
      </c>
      <c r="E3" s="263"/>
    </row>
    <row r="4" spans="2:20" ht="17.25" customHeight="1" thickBot="1">
      <c r="D4" s="262" t="str">
        <f>Criterios!A11 &amp;"  "&amp;Criterios!B11</f>
        <v>Resumenes por Partidos Judiciales  ALMAGRO</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f>IF(ISNUMBER((Datos!J10-Datos!T10)/Datos!T10),(Datos!J10-Datos!T10)/Datos!T10," - ")</f>
        <v>2</v>
      </c>
      <c r="F10" s="348" t="str">
        <f>IF(ISNUMBER((Datos!K10-Datos!U10)/Datos!U10),(Datos!K10-Datos!U10)/Datos!U10," - ")</f>
        <v xml:space="preserve"> - </v>
      </c>
      <c r="G10" s="349">
        <f>IF(ISNUMBER((Datos!L10-Datos!V10)/Datos!V10),(Datos!L10-Datos!V10)/Datos!V10," - ")</f>
        <v>4</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0.8571428571428571</v>
      </c>
      <c r="I12" s="350">
        <f>IF(ISNUMBER((Tasas!C12-Datos!BE12)/Datos!BE12),(Tasas!C12-Datos!BE12)/Datos!BE12," - ")</f>
        <v>0.74683438155136295</v>
      </c>
      <c r="J12" s="349">
        <f>IF(ISNUMBER((Tasas!D12-Datos!BF12)/Datos!BF12),(Tasas!D12-Datos!BF12)/Datos!BF12," - ")</f>
        <v>-0.45421327367636094</v>
      </c>
      <c r="K12" s="351">
        <f>IF(ISNUMBER((Tasas!E12-Datos!BG12)/Datos!BG12),(Tasas!E12-Datos!BG12)/Datos!BG12," - ")</f>
        <v>0.53596790371113356</v>
      </c>
      <c r="M12" t="e">
        <f>IF(Monitorios="SI",Datos!CE12,0)</f>
        <v>#REF!</v>
      </c>
      <c r="N12" t="e">
        <f>IF(Monitorios="SI",Datos!CF12,0)</f>
        <v>#REF!</v>
      </c>
      <c r="O12" t="e">
        <f>IF(Monitorios="SI",Datos!CG12,0)</f>
        <v>#REF!</v>
      </c>
      <c r="P12" t="e">
        <f>IF(Monitorios="SI",Datos!CH12,0)</f>
        <v>#REF!</v>
      </c>
      <c r="Q12">
        <f>IF(J_V="SI",0,Datos!AG12)</f>
        <v>60</v>
      </c>
      <c r="R12">
        <f>IF(J_V="SI",0,Datos!AH12)</f>
        <v>51</v>
      </c>
      <c r="S12">
        <f>IF(J_V="SI",0,Datos!AI12)</f>
        <v>43</v>
      </c>
      <c r="T12">
        <f>IF(J_V="SI",0,Datos!AJ12)</f>
        <v>68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0.8571428571428571</v>
      </c>
      <c r="I13" s="357">
        <f>IF(ISNUMBER((Tasas!C13-Datos!BE13)/Datos!BE13),(Tasas!C13-Datos!BE13)/Datos!BE13," - ")</f>
        <v>0.74998292985723181</v>
      </c>
      <c r="J13" s="355">
        <f>IF(ISNUMBER((Tasas!D13-Datos!BF13)/Datos!BF13),(Tasas!D13-Datos!BF13)/Datos!BF13," - ")</f>
        <v>-0.45421327367636094</v>
      </c>
      <c r="K13" s="358">
        <f>IF(ISNUMBER((Tasas!E13-Datos!BG13)/Datos!BG13),(Tasas!E13-Datos!BG13)/Datos!BG13," - ")</f>
        <v>0.53833361180729622</v>
      </c>
      <c r="M13" t="e">
        <f>IF(Monitorios="SI",Datos!CE13,0)</f>
        <v>#REF!</v>
      </c>
      <c r="N13" t="e">
        <f>IF(Monitorios="SI",Datos!CF13,0)</f>
        <v>#REF!</v>
      </c>
      <c r="O13" t="e">
        <f>IF(Monitorios="SI",Datos!CG13,0)</f>
        <v>#REF!</v>
      </c>
      <c r="P13" t="e">
        <f>IF(Monitorios="SI",Datos!CH13,0)</f>
        <v>#REF!</v>
      </c>
      <c r="Q13">
        <f>IF(J_V="SI",0,Datos!AG13)</f>
        <v>60</v>
      </c>
      <c r="R13">
        <f>IF(J_V="SI",0,Datos!AH13)</f>
        <v>51</v>
      </c>
      <c r="S13">
        <f>IF(J_V="SI",0,Datos!AI13)</f>
        <v>43</v>
      </c>
      <c r="T13">
        <f>IF(J_V="SI",0,Datos!AJ13)</f>
        <v>68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-8.1593927893738136E-2</v>
      </c>
      <c r="E16" s="348">
        <f>IF(ISNUMBER(
   IF(D_I="SI",(Datos!J16-Datos!T16)/Datos!T16,(Datos!J16+Datos!AD16-(Datos!T16+Datos!AL16))/(Datos!T16+Datos!AL16))
     ),IF(D_I="SI",(Datos!J16-Datos!T16)/Datos!T16,(Datos!J16+Datos!AD16-(Datos!T16+Datos!AL16))/(Datos!T16+Datos!AL16))," - ")</f>
        <v>0.40206185567010311</v>
      </c>
      <c r="F16" s="348">
        <f>IF(ISNUMBER(
   IF(D_I="SI",(Datos!K16-Datos!U16)/Datos!U16,(Datos!K16+Datos!AE16-(Datos!U16+Datos!AM16))/(Datos!U16+Datos!AM16))
     ),IF(D_I="SI",(Datos!K16-Datos!U16)/Datos!U16,(Datos!K16+Datos!AE16-(Datos!U16+Datos!AM16))/(Datos!U16+Datos!AM16))," - ")</f>
        <v>-5.0909090909090911E-2</v>
      </c>
      <c r="G16" s="349">
        <f>IF(ISNUMBER(
   IF(D_I="SI",(Datos!L16-Datos!V16)/Datos!V16,(Datos!L16+Datos!AF16-(Datos!V16+Datos!AN16))/(Datos!V16+Datos!AN16))
     ),IF(D_I="SI",(Datos!L16-Datos!V16)/Datos!V16,(Datos!L16+Datos!AF16-(Datos!V16+Datos!AN16))/(Datos!V16+Datos!AN16))," - ")</f>
        <v>0.11581291759465479</v>
      </c>
      <c r="H16" s="230">
        <f>IF(ISNUMBER((Datos!M16-Datos!W16)/Datos!W16),(Datos!M16-Datos!W16)/Datos!W16," - ")</f>
        <v>-0.16666666666666666</v>
      </c>
      <c r="I16" s="350">
        <f>IF(ISNUMBER((Tasas!C16-Datos!BE16)/Datos!BE16),(Tasas!C16-Datos!BE16)/Datos!BE16," - ")</f>
        <v>0.17566495148862088</v>
      </c>
      <c r="J16" s="349">
        <f>IF(ISNUMBER((Tasas!D16-Datos!BF16)/Datos!BF16),(Tasas!D16-Datos!BF16)/Datos!BF16," - ")</f>
        <v>-0.12196679438058741</v>
      </c>
      <c r="K16" s="351">
        <f>IF(ISNUMBER((Tasas!E16-Datos!BG16)/Datos!BG16),(Tasas!E16-Datos!BG16)/Datos!BG16," - ")</f>
        <v>0.10478741211918323</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5.128205128205128E-2</v>
      </c>
      <c r="E17" s="348">
        <f>IF(ISNUMBER(
   IF(D_I="SI",(Datos!J17-Datos!T17)/Datos!T17,(Datos!J17+Datos!AD17-(Datos!T17+Datos!AL17))/(Datos!T17+Datos!AL17))
     ),IF(D_I="SI",(Datos!J17-Datos!T17)/Datos!T17,(Datos!J17+Datos!AD17-(Datos!T17+Datos!AL17))/(Datos!T17+Datos!AL17))," - ")</f>
        <v>-0.17241379310344829</v>
      </c>
      <c r="F17" s="348">
        <f>IF(ISNUMBER(
   IF(D_I="SI",(Datos!K17-Datos!U17)/Datos!U17,(Datos!K17+Datos!AE17-(Datos!U17+Datos!AM17))/(Datos!U17+Datos!AM17))
     ),IF(D_I="SI",(Datos!K17-Datos!U17)/Datos!U17,(Datos!K17+Datos!AE17-(Datos!U17+Datos!AM17))/(Datos!U17+Datos!AM17))," - ")</f>
        <v>3.4482758620689655E-2</v>
      </c>
      <c r="G17" s="349">
        <f>IF(ISNUMBER(
   IF(D_I="SI",(Datos!L17-Datos!V17)/Datos!V17,(Datos!L17+Datos!AF17-(Datos!V17+Datos!AN17))/(Datos!V17+Datos!AN17))
     ),IF(D_I="SI",(Datos!L17-Datos!V17)/Datos!V17,(Datos!L17+Datos!AF17-(Datos!V17+Datos!AN17))/(Datos!V17+Datos!AN17))," - ")</f>
        <v>-0.10256410256410256</v>
      </c>
      <c r="H17" s="230">
        <f>IF(ISNUMBER((Datos!M17-Datos!W17)/Datos!W17),(Datos!M17-Datos!W17)/Datos!W17," - ")</f>
        <v>-0.6</v>
      </c>
      <c r="I17" s="350">
        <f>IF(ISNUMBER((Tasas!C17-Datos!BE17)/Datos!BE17),(Tasas!C17-Datos!BE17)/Datos!BE17," - ")</f>
        <v>-0.13247863247863245</v>
      </c>
      <c r="J17" s="349">
        <f>IF(ISNUMBER((Tasas!D17-Datos!BF17)/Datos!BF17),(Tasas!D17-Datos!BF17)/Datos!BF17," - ")</f>
        <v>-0.61333333333333329</v>
      </c>
      <c r="K17" s="351">
        <f>IF(ISNUMBER((Tasas!E17-Datos!BG17)/Datos!BG17),(Tasas!E17-Datos!BG17)/Datos!BG17," - ")</f>
        <v>-7.5980392156862725E-2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-7.2438162544169613E-2</v>
      </c>
      <c r="E18" s="354">
        <f>IF(ISNUMBER(
   IF(D_I="SI",(Datos!J18-Datos!T18)/Datos!T18,(Datos!J18+Datos!AD18-(Datos!T18+Datos!AL18))/(Datos!T18+Datos!AL18))
     ),IF(D_I="SI",(Datos!J18-Datos!T18)/Datos!T18,(Datos!J18+Datos!AD18-(Datos!T18+Datos!AL18))/(Datos!T18+Datos!AL18))," - ")</f>
        <v>0.3273542600896861</v>
      </c>
      <c r="F18" s="354">
        <f>IF(ISNUMBER(
   IF(D_I="SI",(Datos!K18-Datos!U18)/Datos!U18,(Datos!K18+Datos!AE18-(Datos!U18+Datos!AM18))/(Datos!U18+Datos!AM18))
     ),IF(D_I="SI",(Datos!K18-Datos!U18)/Datos!U18,(Datos!K18+Datos!AE18-(Datos!U18+Datos!AM18))/(Datos!U18+Datos!AM18))," - ")</f>
        <v>-4.2763157894736843E-2</v>
      </c>
      <c r="G18" s="355">
        <f>IF(ISNUMBER(
   IF(D_I="SI",(Datos!L18-Datos!V18)/Datos!V18,(Datos!L18+Datos!AF18-(Datos!V18+Datos!AN18))/(Datos!V18+Datos!AN18))
     ),IF(D_I="SI",(Datos!L18-Datos!V18)/Datos!V18,(Datos!L18+Datos!AF18-(Datos!V18+Datos!AN18))/(Datos!V18+Datos!AN18))," - ")</f>
        <v>9.8360655737704916E-2</v>
      </c>
      <c r="H18" s="356">
        <f>IF(ISNUMBER((Datos!M18-Datos!W18)/Datos!W18),(Datos!M18-Datos!W18)/Datos!W18," - ")</f>
        <v>-0.31111111111111112</v>
      </c>
      <c r="I18" s="357">
        <f>IF(ISNUMBER((Tasas!C18-Datos!BE18)/Datos!BE18),(Tasas!C18-Datos!BE18)/Datos!BE18," - ")</f>
        <v>0.14742831389780844</v>
      </c>
      <c r="J18" s="355">
        <f>IF(ISNUMBER((Tasas!D18-Datos!BF18)/Datos!BF18),(Tasas!D18-Datos!BF18)/Datos!BF18," - ")</f>
        <v>-0.28033600610920195</v>
      </c>
      <c r="K18" s="358">
        <f>IF(ISNUMBER((Tasas!E18-Datos!BG18)/Datos!BG18),(Tasas!E18-Datos!BG18)/Datos!BG18," - ")</f>
        <v>8.7043062034242363E-2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0.16994452849218356</v>
      </c>
      <c r="E19" s="363">
        <f>IF(ISNUMBER(
   IF(J_V="SI",(Datos!J19-Datos!T19)/Datos!T19,(Datos!J19+Datos!Z19-(Datos!T19+Datos!AH19))/(Datos!T19+Datos!AH19))
     ),IF(J_V="SI",(Datos!J19-Datos!T19)/Datos!T19,(Datos!J19+Datos!Z19-(Datos!T19+Datos!AH19))/(Datos!T19+Datos!AH19))," - ")</f>
        <v>0.19101123595505617</v>
      </c>
      <c r="F19" s="363">
        <f>IF(ISNUMBER(
   IF(J_V="SI",(Datos!K19-Datos!U19)/Datos!U19,(Datos!K19+Datos!AA19-(Datos!U19+Datos!AI19))/(Datos!U19+Datos!AI19))
     ),IF(J_V="SI",(Datos!K19-Datos!U19)/Datos!U19,(Datos!K19+Datos!AA19-(Datos!U19+Datos!AI19))/(Datos!U19+Datos!AI19))," - ")</f>
        <v>-0.1453287197231834</v>
      </c>
      <c r="G19" s="364">
        <f>IF(ISNUMBER(
   IF(J_V="SI",(Datos!L19-Datos!V19)/Datos!V19,(Datos!L19+Datos!AB19-(Datos!V19+Datos!AJ19))/(Datos!V19+Datos!AJ19))
     ),IF(J_V="SI",(Datos!L19-Datos!V19)/Datos!V19,(Datos!L19+Datos!AB19-(Datos!V19+Datos!AJ19))/(Datos!V19+Datos!AJ19))," - ")</f>
        <v>0.32239583333333333</v>
      </c>
      <c r="H19" s="365">
        <f>IF(ISNUMBER((Datos!M19-Datos!W19)/Datos!W19),(Datos!M19-Datos!W19)/Datos!W19," - ")</f>
        <v>0.4</v>
      </c>
      <c r="I19" s="362">
        <f>IF(ISNUMBER((Tasas!C19-Datos!BE19)/Datos!BE19),(Tasas!C19-Datos!BE19)/Datos!BE19," - ")</f>
        <v>0.54725666329284739</v>
      </c>
      <c r="J19" s="363">
        <f>IF(ISNUMBER((Tasas!D19-Datos!BF19)/Datos!BF19),(Tasas!D19-Datos!BF19)/Datos!BF19," - ")</f>
        <v>-0.45079732297777408</v>
      </c>
      <c r="K19" s="364">
        <f>IF(ISNUMBER((Tasas!E19-Datos!BG19)/Datos!BG19),(Tasas!E19-Datos!BG19)/Datos!BG19," - ")</f>
        <v>0.37597433570664057</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7.4214267709862683E-2</v>
      </c>
      <c r="E21" s="278">
        <f t="shared" si="1"/>
        <v>0.94233324677253305</v>
      </c>
      <c r="F21" s="278">
        <f t="shared" si="1"/>
        <v>4.7125817073551929E-2</v>
      </c>
      <c r="G21" s="279">
        <f t="shared" si="1"/>
        <v>1.983874469784308</v>
      </c>
      <c r="H21" s="285">
        <f t="shared" si="1"/>
        <v>0.68427464984629716</v>
      </c>
      <c r="I21" s="277">
        <f t="shared" si="1"/>
        <v>0.3939843100264982</v>
      </c>
      <c r="J21" s="278">
        <f t="shared" si="1"/>
        <v>0.18832014548329018</v>
      </c>
      <c r="K21" s="279">
        <f t="shared" si="1"/>
        <v>0.28200284696069161</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6J+osFoVm6IbqAhK8CXUkpf7DszeQKu3yUbPHbXK+8+6DTszg6MnrALjR9U5r+/BpKc3ShzT7I2ZgzR6yan65w==" saltValue="7zzGs65NWBhp5gKpApLOjg=="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2</v>
      </c>
      <c r="D10" s="225">
        <f>IF(ISNUMBER(Datos!I10),Datos!I10," - ")</f>
        <v>2</v>
      </c>
      <c r="E10" s="226">
        <f>IF(ISNUMBER(Datos!J10),Datos!J10," - ")</f>
        <v>3</v>
      </c>
      <c r="F10" s="226">
        <f>IF(ISNUMBER(Datos!K10),Datos!K10," - ")</f>
        <v>0</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1.5</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48.84</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2</v>
      </c>
      <c r="D13" s="1049">
        <f>SUBTOTAL(9,D9:D12)</f>
        <v>2</v>
      </c>
      <c r="E13" s="1050">
        <f>SUBTOTAL(9,E9:E12)</f>
        <v>3</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490</v>
      </c>
      <c r="D16" s="225">
        <f>IF(ISNUMBER(IF(D_I="SI",Datos!I16,Datos!I16+Datos!AC16)),IF(D_I="SI",Datos!I16,Datos!I16+Datos!AC16)," - ")</f>
        <v>484</v>
      </c>
      <c r="E16" s="226">
        <f>IF(ISNUMBER(IF(D_I="SI",Datos!J16,Datos!J16+Datos!AD16)),IF(D_I="SI",Datos!J16,Datos!J16+Datos!AD16)," - ")</f>
        <v>272</v>
      </c>
      <c r="F16" s="226">
        <f>IF(ISNUMBER(IF(D_I="SI",Datos!K16,Datos!K16+Datos!AE16)),IF(D_I="SI",Datos!K16,Datos!K16+Datos!AE16)," - ")</f>
        <v>261</v>
      </c>
      <c r="G16" s="1034" t="str">
        <f>IF(Datos!E16&lt;&gt;"",Datos!E16,Datos!D16)</f>
        <v>04</v>
      </c>
      <c r="H16" s="227">
        <f>IF(ISNUMBER(IF(D_I="SI",Datos!L16,Datos!L16+Datos!AF16)),IF(D_I="SI",Datos!L16,Datos!L16+Datos!AF16)," - ")</f>
        <v>501</v>
      </c>
      <c r="I16" s="1044" t="str">
        <f>IF(ISNUMBER(Datos!AS16/Datos!BM16),Datos!AS16/Datos!BM16," - ")</f>
        <v xml:space="preserve"> - </v>
      </c>
      <c r="J16" s="1045">
        <f>IF(ISNUMBER(Datos!BY16/Datos!CN16),Datos!BY16/Datos!CN16," - ")</f>
        <v>0</v>
      </c>
      <c r="K16" s="230">
        <f t="shared" si="3"/>
        <v>2.2448979591836733E-2</v>
      </c>
      <c r="L16" s="1025">
        <f>IF(ISNUMBER(NºAsuntos!I16/NºAsuntos!G16),(NºAsuntos!I16/NºAsuntos!G16)*11," - ")</f>
        <v>21.114942528735632</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41</v>
      </c>
      <c r="D17" s="225">
        <f>IF(ISNUMBER(IF(D_I="SI",Datos!I17,Datos!I17+Datos!AC17)),IF(D_I="SI",Datos!I17,Datos!I17+Datos!AC17)," - ")</f>
        <v>41</v>
      </c>
      <c r="E17" s="226">
        <f>IF(ISNUMBER(IF(D_I="SI",Datos!J17,Datos!J17+Datos!AD17)),IF(D_I="SI",Datos!J17,Datos!J17+Datos!AD17)," - ")</f>
        <v>24</v>
      </c>
      <c r="F17" s="226">
        <f>IF(ISNUMBER(IF(D_I="SI",Datos!K17,Datos!K17+Datos!AE17)),IF(D_I="SI",Datos!K17,Datos!K17+Datos!AE17)," - ")</f>
        <v>30</v>
      </c>
      <c r="G17" s="1034" t="str">
        <f>IF(Datos!E17&lt;&gt;"",Datos!E17,Datos!D17)</f>
        <v>37</v>
      </c>
      <c r="H17" s="227">
        <f>IF(ISNUMBER(IF(D_I="SI",Datos!L17,Datos!L17+Datos!AF17)),IF(D_I="SI",Datos!L17,Datos!L17+Datos!AF17)," - ")</f>
        <v>35</v>
      </c>
      <c r="I17" s="1044" t="str">
        <f>IF(ISNUMBER(Datos!AS17/Datos!BM17),Datos!AS17/Datos!BM17," - ")</f>
        <v xml:space="preserve"> - </v>
      </c>
      <c r="J17" s="1045" t="str">
        <f>IF(ISNUMBER((Datos!BY17+Datos!BZ17)/Datos!CN17),(Datos!BY17+Datos!BZ17)/Datos!CN17," - ")</f>
        <v xml:space="preserve"> - </v>
      </c>
      <c r="K17" s="230">
        <f t="shared" si="3"/>
        <v>-0.14634146341463414</v>
      </c>
      <c r="L17" s="1025">
        <f>IF(ISNUMBER(NºAsuntos!I17/NºAsuntos!G17),(NºAsuntos!I17/NºAsuntos!G17)*11," - ")</f>
        <v>12.833333333333334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531</v>
      </c>
      <c r="D18" s="1049">
        <f>SUBTOTAL(9,D15:D17)</f>
        <v>525</v>
      </c>
      <c r="E18" s="1050">
        <f>SUBTOTAL(9,E15:E17)</f>
        <v>296</v>
      </c>
      <c r="F18" s="1050">
        <f>SUBTOTAL(9,F15:F17)</f>
        <v>291</v>
      </c>
      <c r="G18" s="1052" t="str">
        <f ca="1">INDIRECT(CONCATENATE("G",ROW()-1))</f>
        <v>37</v>
      </c>
      <c r="H18" s="1053">
        <f ca="1">SUMIF(G$14:G17,G18,H$14:H17)</f>
        <v>35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533</v>
      </c>
      <c r="D19" s="1071">
        <f>SUBTOTAL(9,D9:D18)</f>
        <v>527</v>
      </c>
      <c r="E19" s="1072">
        <f>SUBTOTAL(9,E9:E18)</f>
        <v>299</v>
      </c>
      <c r="F19" s="1072">
        <f>SUBTOTAL(9,F9:F18)</f>
        <v>291</v>
      </c>
      <c r="G19" s="1073"/>
      <c r="H19" s="1074">
        <f ca="1">SUMIF(B9:B18,"TOTAL",H9:H18)</f>
        <v>35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vRh5EIr62Vtddti2pD8wB8zsKEefMFw7A1L7AM42zDpIff1UVeAFOfASMsCFCQKYSngQxOj9rrWHnIfiGZ0q5Q==" saltValue="QAw54V0KuxcllE8SfaeTcQ=="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ocCw8Ji3Z0mRpQDitxM65mdV0UYA1p55VD96AaQ4Rejfx9i1k5SRTc9S9MnJxVCgAFLfn6em7LzZM1+D4aSILw==" saltValue="Gh10qLGVQFBKWH5Gf3RFI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2</v>
      </c>
      <c r="J10" s="181">
        <v>3</v>
      </c>
      <c r="K10" s="181">
        <v>0</v>
      </c>
      <c r="L10" s="181">
        <v>5</v>
      </c>
      <c r="M10" s="181">
        <v>0</v>
      </c>
      <c r="N10" s="181">
        <v>0</v>
      </c>
      <c r="O10" s="181">
        <v>0</v>
      </c>
      <c r="P10" s="181">
        <v>0</v>
      </c>
      <c r="Q10" s="181">
        <v>0</v>
      </c>
      <c r="R10" s="181">
        <v>0</v>
      </c>
      <c r="S10" s="181">
        <v>0</v>
      </c>
      <c r="T10" s="181">
        <v>1</v>
      </c>
      <c r="U10" s="181">
        <v>0</v>
      </c>
      <c r="V10" s="181">
        <v>1</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0</v>
      </c>
      <c r="AZ10" s="129">
        <f t="shared" si="0"/>
        <v>1</v>
      </c>
      <c r="BA10" s="129">
        <f t="shared" si="0"/>
        <v>0</v>
      </c>
      <c r="BB10" s="129">
        <f t="shared" si="0"/>
        <v>1</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1722</v>
      </c>
      <c r="J12" s="183">
        <v>636</v>
      </c>
      <c r="K12" s="183">
        <v>433</v>
      </c>
      <c r="L12" s="183">
        <v>1925</v>
      </c>
      <c r="M12" s="183">
        <v>130</v>
      </c>
      <c r="N12" s="183">
        <v>19</v>
      </c>
      <c r="O12" s="181">
        <v>18</v>
      </c>
      <c r="P12" s="183">
        <v>89</v>
      </c>
      <c r="Q12" s="183">
        <v>41</v>
      </c>
      <c r="R12" s="183">
        <v>1753</v>
      </c>
      <c r="S12" s="183">
        <v>1357</v>
      </c>
      <c r="T12" s="183">
        <v>526</v>
      </c>
      <c r="U12" s="183">
        <v>520</v>
      </c>
      <c r="V12" s="183">
        <v>1363</v>
      </c>
      <c r="W12" s="183">
        <v>70</v>
      </c>
      <c r="X12" s="189">
        <v>298</v>
      </c>
      <c r="Y12" s="191">
        <v>71</v>
      </c>
      <c r="Z12" s="181">
        <v>19</v>
      </c>
      <c r="AA12" s="181">
        <v>17</v>
      </c>
      <c r="AB12" s="181">
        <v>73</v>
      </c>
      <c r="AC12" s="183">
        <v>0</v>
      </c>
      <c r="AD12" s="183">
        <v>0</v>
      </c>
      <c r="AE12" s="183">
        <v>0</v>
      </c>
      <c r="AF12" s="189">
        <v>0</v>
      </c>
      <c r="AG12" s="202">
        <v>60</v>
      </c>
      <c r="AH12" s="183">
        <v>51</v>
      </c>
      <c r="AI12" s="183">
        <v>43</v>
      </c>
      <c r="AJ12" s="203">
        <v>68</v>
      </c>
      <c r="AK12" s="182">
        <v>0</v>
      </c>
      <c r="AL12" s="183">
        <v>0</v>
      </c>
      <c r="AM12" s="183">
        <v>0</v>
      </c>
      <c r="AN12" s="189">
        <v>0</v>
      </c>
      <c r="AO12" s="259">
        <v>1</v>
      </c>
      <c r="AP12" s="155">
        <v>1</v>
      </c>
      <c r="AQ12" s="155">
        <v>1</v>
      </c>
      <c r="AR12" s="154">
        <v>1</v>
      </c>
      <c r="AS12" s="340" t="s">
        <v>801</v>
      </c>
      <c r="AT12" s="203"/>
      <c r="AU12" s="202"/>
      <c r="AV12" s="203"/>
      <c r="AW12" s="202"/>
      <c r="AX12" s="203"/>
      <c r="AY12" s="126">
        <f t="shared" si="1"/>
        <v>1417</v>
      </c>
      <c r="AZ12" s="127">
        <f t="shared" si="1"/>
        <v>577</v>
      </c>
      <c r="BA12" s="127">
        <f t="shared" si="1"/>
        <v>563</v>
      </c>
      <c r="BB12" s="127">
        <f t="shared" si="1"/>
        <v>1431</v>
      </c>
      <c r="BC12" s="125">
        <f>IF(ISNUMBER(X12),X12," - ")</f>
        <v>298</v>
      </c>
      <c r="BD12" s="126">
        <f t="shared" si="2"/>
        <v>0.97573656845753898</v>
      </c>
      <c r="BE12" s="127">
        <f t="shared" si="3"/>
        <v>2.5417406749555949</v>
      </c>
      <c r="BF12" s="127">
        <f t="shared" si="4"/>
        <v>0.52930728241563052</v>
      </c>
      <c r="BG12" s="196">
        <f t="shared" si="5"/>
        <v>3.5417406749555949</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1724</v>
      </c>
      <c r="J13" s="184">
        <f t="shared" si="6"/>
        <v>639</v>
      </c>
      <c r="K13" s="184">
        <f t="shared" si="6"/>
        <v>433</v>
      </c>
      <c r="L13" s="184">
        <f t="shared" si="6"/>
        <v>1930</v>
      </c>
      <c r="M13" s="184">
        <f t="shared" si="6"/>
        <v>130</v>
      </c>
      <c r="N13" s="184">
        <f t="shared" si="6"/>
        <v>19</v>
      </c>
      <c r="O13" s="184">
        <f t="shared" si="6"/>
        <v>18</v>
      </c>
      <c r="P13" s="184">
        <f t="shared" si="6"/>
        <v>89</v>
      </c>
      <c r="Q13" s="184">
        <f t="shared" si="6"/>
        <v>41</v>
      </c>
      <c r="R13" s="184">
        <f t="shared" si="6"/>
        <v>1753</v>
      </c>
      <c r="S13" s="184">
        <f t="shared" si="6"/>
        <v>1357</v>
      </c>
      <c r="T13" s="184">
        <f t="shared" si="6"/>
        <v>527</v>
      </c>
      <c r="U13" s="184">
        <f t="shared" si="6"/>
        <v>520</v>
      </c>
      <c r="V13" s="184">
        <f t="shared" si="6"/>
        <v>1364</v>
      </c>
      <c r="W13" s="184">
        <f t="shared" si="6"/>
        <v>70</v>
      </c>
      <c r="X13" s="184">
        <f t="shared" si="6"/>
        <v>298</v>
      </c>
      <c r="Y13" s="184">
        <f t="shared" si="6"/>
        <v>71</v>
      </c>
      <c r="Z13" s="184">
        <f t="shared" si="6"/>
        <v>19</v>
      </c>
      <c r="AA13" s="184">
        <f t="shared" si="6"/>
        <v>17</v>
      </c>
      <c r="AB13" s="184">
        <f t="shared" si="6"/>
        <v>73</v>
      </c>
      <c r="AC13" s="184">
        <f t="shared" si="6"/>
        <v>0</v>
      </c>
      <c r="AD13" s="184">
        <f t="shared" si="6"/>
        <v>0</v>
      </c>
      <c r="AE13" s="184">
        <f t="shared" si="6"/>
        <v>0</v>
      </c>
      <c r="AF13" s="184">
        <f>SUBTOTAL(9,AF9:AF12)</f>
        <v>0</v>
      </c>
      <c r="AG13" s="184">
        <f t="shared" ref="AG13:AT13" si="7">SUBTOTAL(9,AG8:AG12)</f>
        <v>60</v>
      </c>
      <c r="AH13" s="184">
        <f t="shared" si="7"/>
        <v>51</v>
      </c>
      <c r="AI13" s="184">
        <f t="shared" si="7"/>
        <v>43</v>
      </c>
      <c r="AJ13" s="184">
        <f t="shared" si="7"/>
        <v>68</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1417</v>
      </c>
      <c r="AZ13" s="184">
        <f>SUBTOTAL(9,AZ8:AZ12)</f>
        <v>578</v>
      </c>
      <c r="BA13" s="184">
        <f>SUBTOTAL(9,BA8:BA12)</f>
        <v>563</v>
      </c>
      <c r="BB13" s="184">
        <f>SUBTOTAL(9,BB8:BB12)</f>
        <v>1432</v>
      </c>
      <c r="BC13" s="184">
        <f>SUBTOTAL(9,BC8:BC12)</f>
        <v>298</v>
      </c>
      <c r="BD13" s="205">
        <f>IF(ISNUMBER(BA13/AZ13),BA13/AZ13," - ")</f>
        <v>0.97404844290657444</v>
      </c>
      <c r="BE13" s="206">
        <f>IF(ISNUMBER(BB13/BA13),BB13/BA13, " - ")</f>
        <v>2.5435168738898755</v>
      </c>
      <c r="BF13" s="206">
        <f>IF(ISNUMBER(BC13/BA13),BC13/BA13, " - ")</f>
        <v>0.52930728241563052</v>
      </c>
      <c r="BG13" s="207">
        <f>IF(ISNUMBER((AY13+AZ13)/BA13),(AY13+AZ13)/BA13," - ")</f>
        <v>3.5435168738898755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484</v>
      </c>
      <c r="J16" s="183">
        <v>272</v>
      </c>
      <c r="K16" s="183">
        <v>261</v>
      </c>
      <c r="L16" s="183">
        <v>501</v>
      </c>
      <c r="M16" s="183">
        <v>25</v>
      </c>
      <c r="N16" s="183">
        <v>182</v>
      </c>
      <c r="O16" s="181">
        <v>0</v>
      </c>
      <c r="P16" s="183">
        <v>0</v>
      </c>
      <c r="Q16" s="183">
        <v>0</v>
      </c>
      <c r="R16" s="183">
        <v>48</v>
      </c>
      <c r="S16" s="183">
        <v>527</v>
      </c>
      <c r="T16" s="183">
        <v>194</v>
      </c>
      <c r="U16" s="183">
        <v>275</v>
      </c>
      <c r="V16" s="183">
        <v>449</v>
      </c>
      <c r="W16" s="183">
        <v>30</v>
      </c>
      <c r="X16" s="189">
        <v>204</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527</v>
      </c>
      <c r="AZ16" s="127">
        <f t="shared" si="9"/>
        <v>194</v>
      </c>
      <c r="BA16" s="127">
        <f t="shared" si="9"/>
        <v>275</v>
      </c>
      <c r="BB16" s="127">
        <f t="shared" si="9"/>
        <v>449</v>
      </c>
      <c r="BC16" s="125">
        <f>IF(ISNUMBER(W16),W16," - ")</f>
        <v>30</v>
      </c>
      <c r="BD16" s="126">
        <f t="shared" ref="BD16" si="11">IF(ISNUMBER(BA16/AZ16),BA16/AZ16," - ")</f>
        <v>1.4175257731958764</v>
      </c>
      <c r="BE16" s="127">
        <f t="shared" ref="BE16" si="12">IF(ISNUMBER(BB16/BA16),BB16/BA16, " - ")</f>
        <v>1.6327272727272728</v>
      </c>
      <c r="BF16" s="127">
        <f t="shared" ref="BF16" si="13">IF(ISNUMBER(BC16/BA16),BC16/BA16, " - ")</f>
        <v>0.10909090909090909</v>
      </c>
      <c r="BG16" s="196">
        <f t="shared" si="10"/>
        <v>2.6218181818181816</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41</v>
      </c>
      <c r="J17" s="183">
        <v>24</v>
      </c>
      <c r="K17" s="183">
        <v>30</v>
      </c>
      <c r="L17" s="183">
        <v>35</v>
      </c>
      <c r="M17" s="183">
        <v>6</v>
      </c>
      <c r="N17" s="183">
        <v>15</v>
      </c>
      <c r="O17" s="183">
        <v>0</v>
      </c>
      <c r="P17" s="183">
        <v>0</v>
      </c>
      <c r="Q17" s="183">
        <v>0</v>
      </c>
      <c r="R17" s="183">
        <v>0</v>
      </c>
      <c r="S17" s="183">
        <v>39</v>
      </c>
      <c r="T17" s="183">
        <v>29</v>
      </c>
      <c r="U17" s="183">
        <v>29</v>
      </c>
      <c r="V17" s="183">
        <v>39</v>
      </c>
      <c r="W17" s="183">
        <v>15</v>
      </c>
      <c r="X17" s="189">
        <v>22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39</v>
      </c>
      <c r="AZ17" s="129">
        <f t="shared" si="14"/>
        <v>29</v>
      </c>
      <c r="BA17" s="129">
        <f t="shared" si="14"/>
        <v>29</v>
      </c>
      <c r="BB17" s="129">
        <f t="shared" si="14"/>
        <v>39</v>
      </c>
      <c r="BC17" s="125">
        <f>IF(ISNUMBER(W17),W17," - ")</f>
        <v>15</v>
      </c>
      <c r="BD17" s="126">
        <f>IF(ISNUMBER(BA17/AZ17),BA17/AZ17," - ")</f>
        <v>1</v>
      </c>
      <c r="BE17" s="127">
        <f>IF(ISNUMBER(BB17/BA17),BB17/BA17, " - ")</f>
        <v>1.3448275862068966</v>
      </c>
      <c r="BF17" s="127">
        <f>IF(ISNUMBER(BC17/BA17),BC17/BA17, " - ")</f>
        <v>0.51724137931034486</v>
      </c>
      <c r="BG17" s="196">
        <f>IF(ISNUMBER((AY17+AZ17)/BA17),(AY17+AZ17)/BA17," - ")</f>
        <v>2.3448275862068964</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525</v>
      </c>
      <c r="J18" s="184">
        <f t="shared" si="15"/>
        <v>296</v>
      </c>
      <c r="K18" s="184">
        <f t="shared" si="15"/>
        <v>291</v>
      </c>
      <c r="L18" s="184">
        <f t="shared" si="15"/>
        <v>536</v>
      </c>
      <c r="M18" s="184">
        <f t="shared" si="15"/>
        <v>31</v>
      </c>
      <c r="N18" s="184">
        <f t="shared" si="15"/>
        <v>197</v>
      </c>
      <c r="O18" s="184">
        <f t="shared" si="15"/>
        <v>0</v>
      </c>
      <c r="P18" s="184">
        <f t="shared" si="15"/>
        <v>0</v>
      </c>
      <c r="Q18" s="184">
        <f t="shared" si="15"/>
        <v>0</v>
      </c>
      <c r="R18" s="184">
        <f t="shared" si="15"/>
        <v>48</v>
      </c>
      <c r="S18" s="184">
        <f t="shared" si="15"/>
        <v>566</v>
      </c>
      <c r="T18" s="184">
        <f t="shared" si="15"/>
        <v>223</v>
      </c>
      <c r="U18" s="184">
        <f t="shared" si="15"/>
        <v>304</v>
      </c>
      <c r="V18" s="184">
        <f t="shared" si="15"/>
        <v>488</v>
      </c>
      <c r="W18" s="184">
        <f t="shared" si="15"/>
        <v>45</v>
      </c>
      <c r="X18" s="184">
        <f t="shared" si="15"/>
        <v>226</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566</v>
      </c>
      <c r="AZ18" s="184">
        <f>SUBTOTAL(9,AZ14:AZ17)</f>
        <v>223</v>
      </c>
      <c r="BA18" s="184">
        <f>SUBTOTAL(9,BA14:BA17)</f>
        <v>304</v>
      </c>
      <c r="BB18" s="184">
        <f>SUBTOTAL(9,BB14:BB17)</f>
        <v>488</v>
      </c>
      <c r="BC18" s="184">
        <f>SUBTOTAL(9,BC14:BC17)</f>
        <v>45</v>
      </c>
      <c r="BD18" s="205">
        <f>IF(ISNUMBER(BA18/AZ18),BA18/AZ18," - ")</f>
        <v>1.3632286995515694</v>
      </c>
      <c r="BE18" s="206">
        <f>IF(ISNUMBER(BB18/BA18),BB18/BA18, " - ")</f>
        <v>1.6052631578947369</v>
      </c>
      <c r="BF18" s="206">
        <f>IF(ISNUMBER(BC18/BA18),BC18/BA18, " - ")</f>
        <v>0.14802631578947367</v>
      </c>
      <c r="BG18" s="207">
        <f>IF(ISNUMBER((AY18+AZ18)/BA18),(AY18+AZ18)/BA18," - ")</f>
        <v>2.5953947368421053</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2249</v>
      </c>
      <c r="J19" s="134">
        <f t="shared" si="18"/>
        <v>935</v>
      </c>
      <c r="K19" s="134">
        <f t="shared" si="18"/>
        <v>724</v>
      </c>
      <c r="L19" s="134">
        <f t="shared" si="18"/>
        <v>2466</v>
      </c>
      <c r="M19" s="134">
        <f t="shared" si="18"/>
        <v>161</v>
      </c>
      <c r="N19" s="134">
        <f t="shared" si="18"/>
        <v>216</v>
      </c>
      <c r="O19" s="134">
        <f t="shared" si="18"/>
        <v>18</v>
      </c>
      <c r="P19" s="134">
        <f t="shared" si="18"/>
        <v>89</v>
      </c>
      <c r="Q19" s="134">
        <f t="shared" si="18"/>
        <v>41</v>
      </c>
      <c r="R19" s="134">
        <f t="shared" si="18"/>
        <v>1801</v>
      </c>
      <c r="S19" s="134">
        <f t="shared" si="18"/>
        <v>1923</v>
      </c>
      <c r="T19" s="134">
        <f t="shared" si="18"/>
        <v>750</v>
      </c>
      <c r="U19" s="134">
        <f t="shared" si="18"/>
        <v>824</v>
      </c>
      <c r="V19" s="134">
        <f t="shared" si="18"/>
        <v>1852</v>
      </c>
      <c r="W19" s="134">
        <f t="shared" si="18"/>
        <v>115</v>
      </c>
      <c r="X19" s="134">
        <f t="shared" si="18"/>
        <v>524</v>
      </c>
      <c r="Y19" s="134">
        <f t="shared" si="18"/>
        <v>71</v>
      </c>
      <c r="Z19" s="134">
        <f t="shared" si="18"/>
        <v>19</v>
      </c>
      <c r="AA19" s="134">
        <f t="shared" si="18"/>
        <v>17</v>
      </c>
      <c r="AB19" s="134">
        <f t="shared" si="18"/>
        <v>73</v>
      </c>
      <c r="AC19" s="134">
        <f t="shared" si="18"/>
        <v>0</v>
      </c>
      <c r="AD19" s="134">
        <f t="shared" si="18"/>
        <v>0</v>
      </c>
      <c r="AE19" s="134">
        <f t="shared" si="18"/>
        <v>0</v>
      </c>
      <c r="AF19" s="134">
        <f t="shared" si="18"/>
        <v>0</v>
      </c>
      <c r="AG19" s="134">
        <f t="shared" si="18"/>
        <v>60</v>
      </c>
      <c r="AH19" s="134">
        <f t="shared" si="18"/>
        <v>51</v>
      </c>
      <c r="AI19" s="134">
        <f t="shared" si="18"/>
        <v>43</v>
      </c>
      <c r="AJ19" s="134">
        <f t="shared" si="18"/>
        <v>68</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1983</v>
      </c>
      <c r="AZ19" s="134">
        <f>SUBTOTAL(9,AZ9:AZ18)</f>
        <v>801</v>
      </c>
      <c r="BA19" s="134">
        <f>SUBTOTAL(9,BA9:BA18)</f>
        <v>867</v>
      </c>
      <c r="BB19" s="134">
        <f>SUBTOTAL(9,BB9:BB18)</f>
        <v>1920</v>
      </c>
      <c r="BC19" s="135">
        <f>SUBTOTAL(9,BC9:BC18)</f>
        <v>343</v>
      </c>
      <c r="BD19" s="213">
        <f>IF(ISNUMBER(BA19/AZ19),BA19/AZ19," - ")</f>
        <v>1.0823970037453183</v>
      </c>
      <c r="BE19" s="210">
        <f>IF(ISNUMBER(BB19/BA19),BB19/BA19, " - ")</f>
        <v>2.2145328719723185</v>
      </c>
      <c r="BF19" s="210">
        <f>IF(ISNUMBER(BC19/BA19),BC19/BA19, " - ")</f>
        <v>0.39561707035755478</v>
      </c>
      <c r="BG19" s="135">
        <f>IF(ISNUMBER((AY19+AZ19)/BA19),(AY19+AZ19)/BA19," - ")</f>
        <v>3.2110726643598615</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EScHIJndYIv4rp26jJESh4+1Be+yKnGXd6/xOlJx5RmPiiR0/8b8AYvHCk1B1iXTtX0gpbw1oYMyRpcKJuMAfQ==" saltValue="JALq2TYQC7zg9n424PBliw=="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BfbTKOrbToZERZmpIvKNC7rQZLSgPb8iR59lNYRAYmF/WMatQ2q4YQvKh1i7QkoOS1Xr7RGTi1tlBJJr+JpekQ==" saltValue="TZTMHI/L4TV1lBlpwEtAY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ALMAGRO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2</v>
      </c>
      <c r="G10" s="333">
        <f>IF(ISNUMBER(Datos!I10),Datos!I10," - ")</f>
        <v>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5</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0</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19</v>
      </c>
      <c r="O12" s="334"/>
      <c r="P12" s="334"/>
      <c r="Q12" s="226">
        <f>IF(ISNUMBER(Datos!P12),Datos!P12,0)</f>
        <v>89</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41</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73</v>
      </c>
      <c r="AI12" s="334" t="str">
        <f>IF(ISNUMBER(Datos!CD12),Datos!CD12,"-")</f>
        <v>-</v>
      </c>
      <c r="AJ12" s="334" t="str">
        <f>IF(ISNUMBER(Datos!EN12),Datos!EN12," - ")</f>
        <v xml:space="preserve"> - </v>
      </c>
      <c r="AK12" s="334"/>
      <c r="AL12" s="479"/>
      <c r="AM12" s="335">
        <f>IF(ISNUMBER(Datos!R12),Datos!R12," - ")</f>
        <v>1753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130</v>
      </c>
      <c r="BD12" s="229">
        <f>IF(ISNUMBER(Datos!N12),Datos!N12," - ")</f>
        <v>19</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0.68702290076335881</v>
      </c>
      <c r="BH12" s="260">
        <f>IF(ISNUMBER(((IF(J_V="SI",Datos!L12/Datos!K12,(Datos!L12+Datos!AB12)/(Datos!K12+Datos!AA12)))*11)/factor_trimestre),((IF(J_V="SI",Datos!L12/Datos!K12,(Datos!L12+Datos!AB12)/(Datos!K12+Datos!AA12)))*11)/factor_trimestre," - ")</f>
        <v>13.320000000000002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2.8152492668621701E-2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2</v>
      </c>
      <c r="G13" s="898">
        <f t="shared" si="0"/>
        <v>2</v>
      </c>
      <c r="H13" s="899">
        <f t="shared" si="0"/>
        <v>0</v>
      </c>
      <c r="I13" s="898">
        <f t="shared" si="0"/>
        <v>0</v>
      </c>
      <c r="J13" s="867">
        <f t="shared" si="0"/>
        <v>0</v>
      </c>
      <c r="K13" s="867">
        <f t="shared" si="0"/>
        <v>0</v>
      </c>
      <c r="L13" s="899">
        <f t="shared" si="0"/>
        <v>0</v>
      </c>
      <c r="M13" s="899">
        <f t="shared" si="0"/>
        <v>0</v>
      </c>
      <c r="N13" s="899">
        <f t="shared" si="0"/>
        <v>19</v>
      </c>
      <c r="O13" s="900">
        <f t="shared" si="0"/>
        <v>0</v>
      </c>
      <c r="P13" s="900">
        <f t="shared" si="0"/>
        <v>0</v>
      </c>
      <c r="Q13" s="899">
        <f t="shared" si="0"/>
        <v>89</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41</v>
      </c>
      <c r="AD13" s="899">
        <f t="shared" si="1"/>
        <v>0</v>
      </c>
      <c r="AE13" s="899">
        <f t="shared" si="1"/>
        <v>0</v>
      </c>
      <c r="AF13" s="899">
        <f t="shared" si="1"/>
        <v>5</v>
      </c>
      <c r="AG13" s="899">
        <f t="shared" si="1"/>
        <v>0</v>
      </c>
      <c r="AH13" s="899">
        <f t="shared" si="1"/>
        <v>73</v>
      </c>
      <c r="AI13" s="899">
        <f t="shared" si="1"/>
        <v>0</v>
      </c>
      <c r="AJ13" s="899">
        <f t="shared" si="1"/>
        <v>0</v>
      </c>
      <c r="AK13" s="899">
        <f t="shared" si="1"/>
        <v>0</v>
      </c>
      <c r="AL13" s="899">
        <f t="shared" si="1"/>
        <v>0</v>
      </c>
      <c r="AM13" s="899">
        <f t="shared" si="1"/>
        <v>1753</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130</v>
      </c>
      <c r="BD13" s="899">
        <f t="shared" si="1"/>
        <v>19</v>
      </c>
      <c r="BE13" s="899">
        <f t="shared" si="1"/>
        <v>0</v>
      </c>
      <c r="BF13" s="899">
        <f t="shared" si="1"/>
        <v>0</v>
      </c>
      <c r="BG13" s="899">
        <f>IF(ISNUMBER(Datos!K13/Datos!J13),Datos!K13/Datos!J13," - ")</f>
        <v>0.67762128325508608</v>
      </c>
      <c r="BH13" s="903">
        <f>IF(ISNUMBER(((Datos!L13/Datos!K13)*11)/factor_trimestre),((Datos!L13/Datos!K13)*11)/factor_trimestre," - ")</f>
        <v>13.371824480369515</v>
      </c>
      <c r="BI13" s="899">
        <f>IF(ISNUMBER('Resol  Asuntos'!D13/NºAsuntos!G13),'Resol  Asuntos'!D13/NºAsuntos!G13," - ")</f>
        <v>0.28888888888888886</v>
      </c>
      <c r="BJ13" s="899" t="str">
        <f>IF(ISNUMBER(Datos!CI13/Datos!CJ13),Datos!CI13/Datos!CJ13," - ")</f>
        <v xml:space="preserve"> - </v>
      </c>
      <c r="BK13" s="899">
        <f>SUBTOTAL(9,BK8:BK12)</f>
        <v>0</v>
      </c>
      <c r="BL13" s="899">
        <f>IF(ISNUMBER((I13-AB13+L13)/(F13)),(I13-AB13+L13)/(F13)," - ")</f>
        <v>0</v>
      </c>
      <c r="BM13" s="904">
        <f>SUBTOTAL(9,BM9:BM12)</f>
        <v>2.8152492668621701E-2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490</v>
      </c>
      <c r="G16" s="598">
        <f>IF(ISNUMBER(IF(D_I="SI",Datos!I16,Datos!I16+Datos!AC16)),IF(D_I="SI",Datos!I16,Datos!I16+Datos!AC16)," - ")</f>
        <v>484</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261</v>
      </c>
      <c r="AC16" s="226">
        <f>IF(ISNUMBER(Datos!Q16),Datos!Q16," - ")</f>
        <v>0</v>
      </c>
      <c r="AD16" s="334"/>
      <c r="AE16" s="484"/>
      <c r="AF16" s="596">
        <f>IF(ISNUMBER(IF(D_I="SI",Datos!L16,Datos!L16+Datos!AF16)),IF(D_I="SI",Datos!L16,Datos!L16+Datos!AF16)," - ")</f>
        <v>501</v>
      </c>
      <c r="AG16" s="334"/>
      <c r="AH16" s="334"/>
      <c r="AI16" s="334"/>
      <c r="AJ16" s="334"/>
      <c r="AK16" s="334"/>
      <c r="AL16" s="479"/>
      <c r="AM16" s="335">
        <f>IF(ISNUMBER(Datos!R16),Datos!R16," - ")</f>
        <v>48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25</v>
      </c>
      <c r="BD16" s="229">
        <f>IF(ISNUMBER(Datos!N16),Datos!N16," - ")</f>
        <v>182</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0.9595588235294118</v>
      </c>
      <c r="BH16" s="260">
        <f>IF(ISNUMBER(((IF(D_I="SI",Datos!L16/Datos!K16,(Datos!L16+Datos!AF16)/(Datos!K16+Datos!AE16)))*11)/factor_trimestre),((IF(D_I="SI",Datos!L16/Datos!K16,(Datos!L16+Datos!AF16)/(Datos!K16+Datos!AE16)))*11)/factor_trimestre," - ")</f>
        <v>5.7586206896551726</v>
      </c>
      <c r="BI16" s="243">
        <f>IF(ISNUMBER('Resol  Asuntos'!D16/NºAsuntos!G16),'Resol  Asuntos'!D16/NºAsuntos!G16," - ")</f>
        <v>9.5785440613026823E-2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30</v>
      </c>
      <c r="AC17" s="226">
        <f>IF(ISNUMBER(Datos!Q17),Datos!Q17," - ")</f>
        <v>0</v>
      </c>
      <c r="AD17" s="334"/>
      <c r="AE17" s="484"/>
      <c r="AF17" s="332">
        <f>IF(ISNUMBER(Datos!L17),Datos!L17,"-")</f>
        <v>35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6</v>
      </c>
      <c r="BD17" s="229">
        <f>IF(ISNUMBER(Datos!N17),Datos!N17," - ")</f>
        <v>15</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1.25</v>
      </c>
      <c r="BH17" s="260">
        <f>IF(ISNUMBER(((IF(D_I="SI",Datos!L17/Datos!K17,(Datos!L17+Datos!AF17)/(Datos!K17+Datos!AE17)))*11)/factor_trimestre),((IF(D_I="SI",Datos!L17/Datos!K17,(Datos!L17+Datos!AF17)/(Datos!K17+Datos!AE17)))*11)/factor_trimestre," - ")</f>
        <v>3.5000000000000004</v>
      </c>
      <c r="BI17" s="243">
        <f>IF(ISNUMBER('Resol  Asuntos'!D17/NºAsuntos!G17),'Resol  Asuntos'!D17/NºAsuntos!G17," - ")</f>
        <v>0.2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490</v>
      </c>
      <c r="G18" s="898">
        <f>SUBTOTAL(9,G15:G17)</f>
        <v>525</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291</v>
      </c>
      <c r="AC18" s="899">
        <f t="shared" si="4"/>
        <v>0</v>
      </c>
      <c r="AD18" s="899">
        <f t="shared" si="4"/>
        <v>0</v>
      </c>
      <c r="AE18" s="899">
        <f t="shared" si="4"/>
        <v>0</v>
      </c>
      <c r="AF18" s="899">
        <f t="shared" si="4"/>
        <v>536</v>
      </c>
      <c r="AG18" s="899">
        <f t="shared" si="4"/>
        <v>0</v>
      </c>
      <c r="AH18" s="899">
        <f t="shared" si="4"/>
        <v>0</v>
      </c>
      <c r="AI18" s="899">
        <f t="shared" si="4"/>
        <v>0</v>
      </c>
      <c r="AJ18" s="899">
        <f t="shared" si="4"/>
        <v>0</v>
      </c>
      <c r="AK18" s="899">
        <f t="shared" si="4"/>
        <v>0</v>
      </c>
      <c r="AL18" s="899">
        <f t="shared" si="4"/>
        <v>0</v>
      </c>
      <c r="AM18" s="899">
        <f t="shared" si="4"/>
        <v>48</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31</v>
      </c>
      <c r="BD18" s="899">
        <f t="shared" si="4"/>
        <v>197</v>
      </c>
      <c r="BE18" s="899">
        <f t="shared" si="4"/>
        <v>0</v>
      </c>
      <c r="BF18" s="899">
        <f t="shared" si="4"/>
        <v>0</v>
      </c>
      <c r="BG18" s="899">
        <f>IF(ISNUMBER(Datos!K18/Datos!J18),Datos!K18/Datos!J18," - ")</f>
        <v>0.98310810810810811</v>
      </c>
      <c r="BH18" s="903">
        <f>IF(ISNUMBER(((Datos!L18/Datos!K18)*11)/factor_trimestre),((Datos!L18/Datos!K18)*11)/factor_trimestre," - ")</f>
        <v>5.5257731958762886</v>
      </c>
      <c r="BI18" s="899">
        <f>SUBTOTAL(9,BI15:BI17)</f>
        <v>0.29578544061302681</v>
      </c>
      <c r="BJ18" s="899">
        <f>SUBTOTAL(9,BJ15:BJ17)</f>
        <v>0</v>
      </c>
      <c r="BK18" s="899">
        <f>SUBTOTAL(9,BK15:BK17)</f>
        <v>0</v>
      </c>
      <c r="BL18" s="899">
        <f>IF(ISNUMBER((I18-AB18+L18)/(F18)),(I18-AB18+L18)/(F18)," - ")</f>
        <v>-0.59387755102040818</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492</v>
      </c>
      <c r="G19" s="820">
        <f t="shared" si="6"/>
        <v>527</v>
      </c>
      <c r="H19" s="822">
        <f t="shared" si="6"/>
        <v>0</v>
      </c>
      <c r="I19" s="820">
        <f t="shared" si="6"/>
        <v>0</v>
      </c>
      <c r="J19" s="822">
        <f t="shared" si="6"/>
        <v>0</v>
      </c>
      <c r="K19" s="822">
        <f t="shared" si="6"/>
        <v>0</v>
      </c>
      <c r="L19" s="881">
        <f t="shared" si="6"/>
        <v>0</v>
      </c>
      <c r="M19" s="881">
        <f t="shared" si="6"/>
        <v>0</v>
      </c>
      <c r="N19" s="881">
        <f t="shared" si="6"/>
        <v>19</v>
      </c>
      <c r="O19" s="881">
        <f t="shared" si="6"/>
        <v>0</v>
      </c>
      <c r="P19" s="881">
        <f t="shared" si="6"/>
        <v>0</v>
      </c>
      <c r="Q19" s="822">
        <f t="shared" si="6"/>
        <v>89</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291</v>
      </c>
      <c r="AC19" s="821">
        <f t="shared" si="7"/>
        <v>41</v>
      </c>
      <c r="AD19" s="821">
        <f t="shared" si="7"/>
        <v>0</v>
      </c>
      <c r="AE19" s="821">
        <f t="shared" si="7"/>
        <v>0</v>
      </c>
      <c r="AF19" s="828">
        <f t="shared" si="7"/>
        <v>541</v>
      </c>
      <c r="AG19" s="828">
        <f t="shared" si="7"/>
        <v>0</v>
      </c>
      <c r="AH19" s="828">
        <f t="shared" si="7"/>
        <v>73</v>
      </c>
      <c r="AI19" s="828">
        <f t="shared" si="7"/>
        <v>0</v>
      </c>
      <c r="AJ19" s="821">
        <f t="shared" si="7"/>
        <v>0</v>
      </c>
      <c r="AK19" s="828">
        <f t="shared" si="7"/>
        <v>0</v>
      </c>
      <c r="AL19" s="828">
        <f t="shared" si="7"/>
        <v>0</v>
      </c>
      <c r="AM19" s="828">
        <f t="shared" si="7"/>
        <v>1801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161</v>
      </c>
      <c r="BD19" s="820">
        <f t="shared" si="7"/>
        <v>216</v>
      </c>
      <c r="BE19" s="820">
        <f t="shared" si="7"/>
        <v>0</v>
      </c>
      <c r="BF19" s="830">
        <f t="shared" si="7"/>
        <v>0</v>
      </c>
      <c r="BG19" s="915">
        <f>IF(ISNUMBER(Datos!K19/Datos!J19),Datos!K19/Datos!J19," - ")</f>
        <v>0.774331550802139</v>
      </c>
      <c r="BH19" s="915">
        <f>IF(ISNUMBER(((Datos!L19/Datos!K19)*11)/factor_trimestre),((Datos!L19/Datos!K19)*11)/factor_trimestre," - ")</f>
        <v>10.218232044198894</v>
      </c>
      <c r="BI19" s="813">
        <f>IF(ISNUMBER(Datos!J19/Datos!I19),Datos!J19/Datos!I19," - ")</f>
        <v>0.4157403290351267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-0.59146341463414631</v>
      </c>
      <c r="BM19" s="889">
        <f>IF(ISNUMBER((Datos!P19-Datos!Q19+R19)/(Datos!R19-Datos!P19+Datos!Q19-R19)),(Datos!P19-Datos!Q19+R19)/(Datos!R19-Datos!P19+Datos!Q19-R19)," - ")</f>
        <v>2.7381631488876214E-2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210.8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281.74693136453737</v>
      </c>
      <c r="G21" s="552">
        <f>IF(ISNUMBER(STDEV(G8:G18)),STDEV(G8:G18),"-")</f>
        <v>268.97341876103667</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146.59229174823619</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60.235094975161005</v>
      </c>
      <c r="BD21" s="551"/>
      <c r="BE21" s="551">
        <f>IF(ISNUMBER(STDEV(BE8:BE18)),STDEV(BE8:BE18),"-")</f>
        <v>0</v>
      </c>
      <c r="BF21" s="556">
        <f>IF(ISNUMBER(STDEV(BF8:BF18)),STDEV(BF8:BF18),"-")</f>
        <v>0</v>
      </c>
      <c r="BG21" s="775">
        <f>IF(ISNUMBER(STDEV(BG8:BG18)),STDEV(BG8:BG18),"-")</f>
        <v>0.42881503166774654</v>
      </c>
      <c r="BH21" s="776">
        <f>IF(ISNUMBER(STDEV(BH8:BH18)),STDEV(BH8:BH18),"-")</f>
        <v>4.6935762912255559</v>
      </c>
      <c r="BI21" s="249">
        <f>IF(ISNUMBER(STDEV(BI8:BI18)),STDEV(BI8:BI18),"-")</f>
        <v>9.3663076926140884E-2</v>
      </c>
      <c r="BJ21" s="230" t="str">
        <f>IF(ISNUMBER(BL21/BM21),BL21/BM21," - ")</f>
        <v xml:space="preserve"> - </v>
      </c>
      <c r="BK21" s="575"/>
      <c r="BL21" s="559">
        <f>IF(ISNUMBER(STDEV(BL8:BL18)),STDEV(BL8:BL18),"-")</f>
        <v>0.41993484352099048</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LC5lrN2etl90h2We77lw01mmePx7qMG9xr0RnHdSdOWwwfdjodHjpdmqp15s7R18ozizK4VISU1EDirku997KQ==" saltValue="vItHO/ljlzcbsOzc5b9TSg=="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CIUDAD REAL  Resumenes por Partidos Judiciales  ALMAGRO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2</v>
      </c>
      <c r="G10" s="225">
        <f>IF(ISNUMBER(Datos!I10),Datos!I10," - ")</f>
        <v>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5</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89</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41</v>
      </c>
      <c r="AA12" s="332" t="str">
        <f>IF(ISNUMBER(IF(J_V="SI",Datos!L12,Datos!L12+Datos!AB12)-IF(Monitorios="SI",Datos!CD12,0)),
                          IF(J_V="SI",Datos!L12,Datos!L12+Datos!AB12)-IF(Monitorios="SI",Datos!CD12,0),
                          " - ")</f>
        <v xml:space="preserve"> - </v>
      </c>
      <c r="AB12" s="334"/>
      <c r="AC12" s="334"/>
      <c r="AD12" s="484"/>
      <c r="AE12" s="484">
        <f>IF(ISNUMBER(Datos!R12),Datos!R12," - ")</f>
        <v>1753</v>
      </c>
      <c r="AF12" s="229" t="str">
        <f>IF(ISNUMBER(Datos!BV12),Datos!BV12," - ")</f>
        <v xml:space="preserve"> - </v>
      </c>
      <c r="AG12" s="225" t="str">
        <f>IF(ISNUMBER(Datos!DV12),Datos!DV12," - ")</f>
        <v xml:space="preserve"> - </v>
      </c>
      <c r="AH12" s="298"/>
      <c r="AI12" s="227"/>
      <c r="AJ12" s="225">
        <f>IF(ISNUMBER(Datos!M12),Datos!M12," - ")</f>
        <v>130</v>
      </c>
      <c r="AK12" s="229">
        <f>IF(ISNUMBER(Datos!N12),Datos!N12," - ")</f>
        <v>19</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13.320000000000002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2.8152492668621701E-2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2</v>
      </c>
      <c r="G13" s="898">
        <f>SUBTOTAL(9,G8:G12)</f>
        <v>2</v>
      </c>
      <c r="H13" s="908"/>
      <c r="I13" s="898">
        <f t="shared" ref="I13:N13" si="0">SUBTOTAL(9,I8:I12)</f>
        <v>0</v>
      </c>
      <c r="J13" s="867">
        <f t="shared" si="0"/>
        <v>0</v>
      </c>
      <c r="K13" s="908">
        <f t="shared" si="0"/>
        <v>0</v>
      </c>
      <c r="L13" s="908">
        <f t="shared" si="0"/>
        <v>0</v>
      </c>
      <c r="M13" s="908">
        <f t="shared" si="0"/>
        <v>0</v>
      </c>
      <c r="N13" s="908">
        <f t="shared" si="0"/>
        <v>89</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41</v>
      </c>
      <c r="AA13" s="900">
        <f t="shared" si="2"/>
        <v>5</v>
      </c>
      <c r="AB13" s="900">
        <f t="shared" si="2"/>
        <v>0</v>
      </c>
      <c r="AC13" s="900">
        <f t="shared" si="2"/>
        <v>0</v>
      </c>
      <c r="AD13" s="900">
        <f t="shared" si="2"/>
        <v>0</v>
      </c>
      <c r="AE13" s="900">
        <f t="shared" si="2"/>
        <v>1753</v>
      </c>
      <c r="AF13" s="908">
        <f t="shared" si="2"/>
        <v>0</v>
      </c>
      <c r="AG13" s="908">
        <f t="shared" si="2"/>
        <v>0</v>
      </c>
      <c r="AH13" s="908">
        <f t="shared" si="2"/>
        <v>0</v>
      </c>
      <c r="AI13" s="908">
        <f t="shared" si="2"/>
        <v>0</v>
      </c>
      <c r="AJ13" s="908">
        <f t="shared" si="2"/>
        <v>130</v>
      </c>
      <c r="AK13" s="908">
        <f t="shared" si="2"/>
        <v>19</v>
      </c>
      <c r="AL13" s="908">
        <f t="shared" si="2"/>
        <v>0</v>
      </c>
      <c r="AM13" s="908">
        <f t="shared" si="2"/>
        <v>0</v>
      </c>
      <c r="AN13" s="908">
        <f t="shared" si="2"/>
        <v>0</v>
      </c>
      <c r="AO13" s="904">
        <f>IF(ISNUMBER(((NºAsuntos!I13/NºAsuntos!G13)*11)/factor_trimestre),((NºAsuntos!I13/NºAsuntos!G13)*11)/factor_trimestre," - ")</f>
        <v>13.353333333333333</v>
      </c>
      <c r="AP13" s="910" t="str">
        <f>IF(ISNUMBER(Datos!CI13/Datos!CJ13),Datos!CI13/Datos!CJ13," - ")</f>
        <v xml:space="preserve"> - </v>
      </c>
      <c r="AQ13" s="928">
        <f t="shared" ref="AQ13:AV13" si="3">SUBTOTAL(9,AQ9:AQ12)</f>
        <v>0</v>
      </c>
      <c r="AR13" s="928">
        <f t="shared" si="3"/>
        <v>2.8152492668621701E-2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490</v>
      </c>
      <c r="G16" s="225">
        <f>IF(ISNUMBER(IF(D_I="SI",Datos!I16,Datos!I16+Datos!AC16)),IF(D_I="SI",Datos!I16,Datos!I16+Datos!AC16)," - ")</f>
        <v>484</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261</v>
      </c>
      <c r="Z16" s="619">
        <f>IF(ISNUMBER(Datos!Q16),Datos!Q16," - ")</f>
        <v>0</v>
      </c>
      <c r="AA16" s="332">
        <f>IF(ISNUMBER(IF(D_I="SI",Datos!L16,Datos!L16+Datos!AF16)),IF(D_I="SI",Datos!L16,Datos!L16+Datos!AF16)," - ")</f>
        <v>501</v>
      </c>
      <c r="AB16" s="334"/>
      <c r="AC16" s="334"/>
      <c r="AD16" s="484"/>
      <c r="AE16" s="484">
        <f>IF(ISNUMBER(Datos!R16),Datos!R16," - ")</f>
        <v>48</v>
      </c>
      <c r="AF16" s="229" t="str">
        <f>IF(ISNUMBER(Datos!BV16),Datos!BV16," - ")</f>
        <v xml:space="preserve"> - </v>
      </c>
      <c r="AG16" s="225"/>
      <c r="AH16" s="298"/>
      <c r="AI16" s="227"/>
      <c r="AJ16" s="225">
        <f>IF(ISNUMBER(Datos!M16),Datos!M16," - ")</f>
        <v>25</v>
      </c>
      <c r="AK16" s="229">
        <f>IF(ISNUMBER(Datos!N16),Datos!N16," - ")</f>
        <v>182</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5.7586206896551726</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30</v>
      </c>
      <c r="Z17" s="619">
        <f>IF(ISNUMBER(Datos!Q17),Datos!Q17," - ")</f>
        <v>0</v>
      </c>
      <c r="AA17" s="332">
        <f>IF(ISNUMBER(Datos!L17),Datos!L17,"-")</f>
        <v>35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6</v>
      </c>
      <c r="AK17" s="229">
        <f>IF(ISNUMBER(Datos!N17),Datos!N17," - ")</f>
        <v>15</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3.5000000000000004</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490</v>
      </c>
      <c r="G18" s="898">
        <f>SUBTOTAL(9,G15:G17)</f>
        <v>525</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291</v>
      </c>
      <c r="Z18" s="932">
        <f t="shared" si="5"/>
        <v>0</v>
      </c>
      <c r="AA18" s="932">
        <f t="shared" si="5"/>
        <v>536</v>
      </c>
      <c r="AB18" s="932">
        <f t="shared" si="5"/>
        <v>0</v>
      </c>
      <c r="AC18" s="932">
        <f t="shared" si="5"/>
        <v>0</v>
      </c>
      <c r="AD18" s="932">
        <f t="shared" si="5"/>
        <v>0</v>
      </c>
      <c r="AE18" s="932">
        <f t="shared" si="5"/>
        <v>48</v>
      </c>
      <c r="AF18" s="932">
        <f t="shared" si="5"/>
        <v>0</v>
      </c>
      <c r="AG18" s="932">
        <f t="shared" si="5"/>
        <v>0</v>
      </c>
      <c r="AH18" s="932">
        <f t="shared" si="5"/>
        <v>0</v>
      </c>
      <c r="AI18" s="932">
        <f t="shared" si="5"/>
        <v>0</v>
      </c>
      <c r="AJ18" s="932">
        <f t="shared" si="5"/>
        <v>31</v>
      </c>
      <c r="AK18" s="932">
        <f t="shared" si="5"/>
        <v>197</v>
      </c>
      <c r="AL18" s="932">
        <f t="shared" si="5"/>
        <v>0</v>
      </c>
      <c r="AM18" s="932">
        <f t="shared" si="5"/>
        <v>0</v>
      </c>
      <c r="AN18" s="932">
        <f t="shared" si="5"/>
        <v>0</v>
      </c>
      <c r="AO18" s="934">
        <f>IF(ISNUMBER(((NºAsuntos!I18/NºAsuntos!G18)*11)/factor_trimestre),((NºAsuntos!I18/NºAsuntos!G18)*11)/factor_trimestre," - ")</f>
        <v>5.5257731958762886</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492</v>
      </c>
      <c r="G19" s="820">
        <f t="shared" si="7"/>
        <v>527</v>
      </c>
      <c r="H19" s="821">
        <f t="shared" si="7"/>
        <v>0</v>
      </c>
      <c r="I19" s="820">
        <f t="shared" si="7"/>
        <v>0</v>
      </c>
      <c r="J19" s="822">
        <f t="shared" si="7"/>
        <v>0</v>
      </c>
      <c r="K19" s="820">
        <f t="shared" si="7"/>
        <v>0</v>
      </c>
      <c r="L19" s="823">
        <f t="shared" si="7"/>
        <v>0</v>
      </c>
      <c r="M19" s="820">
        <f t="shared" si="7"/>
        <v>0</v>
      </c>
      <c r="N19" s="821">
        <f t="shared" si="7"/>
        <v>89</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291</v>
      </c>
      <c r="Z19" s="827">
        <f t="shared" si="8"/>
        <v>41</v>
      </c>
      <c r="AA19" s="828">
        <f t="shared" si="8"/>
        <v>541</v>
      </c>
      <c r="AB19" s="828">
        <f t="shared" si="8"/>
        <v>0</v>
      </c>
      <c r="AC19" s="828">
        <f t="shared" si="8"/>
        <v>0</v>
      </c>
      <c r="AD19" s="829">
        <f t="shared" si="8"/>
        <v>0</v>
      </c>
      <c r="AE19" s="829">
        <f t="shared" si="8"/>
        <v>1801</v>
      </c>
      <c r="AF19" s="830">
        <f t="shared" si="8"/>
        <v>0</v>
      </c>
      <c r="AG19" s="831">
        <f t="shared" si="8"/>
        <v>0</v>
      </c>
      <c r="AH19" s="832">
        <f t="shared" si="8"/>
        <v>0</v>
      </c>
      <c r="AI19" s="830">
        <f t="shared" si="8"/>
        <v>0</v>
      </c>
      <c r="AJ19" s="820">
        <f t="shared" si="8"/>
        <v>161</v>
      </c>
      <c r="AK19" s="820">
        <f t="shared" si="8"/>
        <v>216</v>
      </c>
      <c r="AL19" s="820">
        <f t="shared" si="8"/>
        <v>0</v>
      </c>
      <c r="AM19" s="833">
        <f t="shared" si="8"/>
        <v>0</v>
      </c>
      <c r="AN19" s="823">
        <f>IF(ISNUMBER(Datos!K19/Datos!J19),Datos!K19/Datos!J19," - ")</f>
        <v>0.774331550802139</v>
      </c>
      <c r="AO19" s="823">
        <f>IF(ISNUMBER(FIND("06",Criterios!A8,1)),(IF(ISNUMBER(((Datos!R19/Datos!Q19)*11)/factor_trimestre),((Datos!R19/Datos!Q19)*11)/factor_trimestre," - ")),(IF(ISNUMBER(((Datos!L19/Datos!K19)*11)/factor_trimestre),((Datos!L19/Datos!K19)*11)/factor_trimestre," - ")))</f>
        <v>10.218232044198894</v>
      </c>
      <c r="AP19" s="834" t="str">
        <f>IF(ISNUMBER(Datos!CI19/Datos!CJ19),Datos!CI19/Datos!CJ19," - ")</f>
        <v xml:space="preserve"> - </v>
      </c>
      <c r="AQ19" s="834">
        <f>IF(OR(ISNUMBER(FIND("01",Criterios!A8,1)),ISNUMBER(FIND("02",Criterios!A8,1)),ISNUMBER(FIND("03",Criterios!A8,1)),ISNUMBER(FIND("04",Criterios!A8,1))),(J19-Y19+K19)/(F19-K19),(I19-Y19+K19)/(F19-K19))</f>
        <v>-0.59146341463414631</v>
      </c>
      <c r="AR19" s="834">
        <f>IF(ISNUMBER((Datos!P19-Datos!Q19+O19)/(Datos!R19-Datos!P19+Datos!Q19-O19)),(Datos!P19-Datos!Q19+O19)/(Datos!R19-Datos!P19+Datos!Q19-O19)," - ")</f>
        <v>2.7381631488876214E-2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210.8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281.74693136453737</v>
      </c>
      <c r="G21" s="552">
        <f>IF(ISNUMBER(STDEV(G8:G18)),STDEV(G8:G18),"-")</f>
        <v>268.97341876103667</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60.235094975161005</v>
      </c>
      <c r="AK21" s="252"/>
      <c r="AL21" s="252">
        <f>IF(ISNUMBER(STDEV(AL8:AL18)),STDEV(AL8:AL18),"-")</f>
        <v>0</v>
      </c>
      <c r="AM21" s="254">
        <f>IF(ISNUMBER(STDEV(AM8:AM18)),STDEV(AM8:AM18),"-")</f>
        <v>0</v>
      </c>
      <c r="AN21" s="539">
        <f>IF(ISNUMBER(STDEV(AN8:AN18)),STDEV(AN8:AN18),"-")</f>
        <v>0</v>
      </c>
      <c r="AO21" s="540">
        <f>IF(ISNUMBER(STDEV(AO8:AO18)),STDEV(AO8:AO18),"-")</f>
        <v>4.6885809031075709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hq4py3U0p8gJPHi7q2JQ6Kvk0oxPJdq8gfj6/cTUJ04UwcFQXAZCRQQszaBUbkpzx0TlYXbJYoVcmKTwj1Cn3g==" saltValue="X8lyENqtnIUaWoguV4bvMQ=="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junKugThUNELQbuLo3hzhTMMZWJTL9tBiLKmGbypPpWXMa1/4Map6HhsnFD56tgp+LYzUsnNPQTvIOJ9en7x/g==" saltValue="bW/fF7Rb8DI6lp5v4gcZn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CIUDAD REAL</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6vrP+N+myhbsRajK7DYtVaKvCGU9+A7t/rYfgLnIZYJ7egObKeyRnSKtLIbra26IkqHyLqb+M/vvJp0v+cc7ow==" saltValue="hWDYf8o5U+Cuv5fcgqemIQ=="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CIUDAD REAL  Resumenes por Partidos Judiciales  ALMAGRO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0.28888888888888886</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0.20427529234278038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XGyEAYfbeThIduRF8RWE7l7mx9OpA/0neCJ/l55r+qF/5I6cMPdisd9ii8dUBRyAvTKqerLpQB8AAc88DAu0Ww==" saltValue="XRMxNqKGlBxKCq205Hd2w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IcDBUKQ94dMi6keHwX39/EGssm7v0F6ewangJ6oaDpsLXqRLA9PMlSMf3rUqc0TQ9j+QxSKhX7XBPBp5jRaJ5A==" saltValue="d75nAwg0Fja4/tPLwikSO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CIUDAD REAL  Resumenes por Partidos Judiciales  ALMAGRO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2</v>
      </c>
      <c r="G10" s="684">
        <f>IF(ISNUMBER(Datos!I10),Datos!I10," - ")</f>
        <v>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89</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41</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1753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130</v>
      </c>
      <c r="AM12" s="690">
        <f>IF(ISNUMBER(Datos!N12+DatosP!N16),Datos!N12+DatosP!N16," - ")</f>
        <v>19</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13.320000000000002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2.8152492668621701E-2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2</v>
      </c>
      <c r="G13" s="938">
        <f t="shared" si="0"/>
        <v>2</v>
      </c>
      <c r="H13" s="938">
        <f t="shared" si="0"/>
        <v>0</v>
      </c>
      <c r="I13" s="940">
        <f t="shared" si="0"/>
        <v>0</v>
      </c>
      <c r="J13" s="939">
        <f t="shared" si="0"/>
        <v>0</v>
      </c>
      <c r="K13" s="939">
        <f t="shared" si="0"/>
        <v>0</v>
      </c>
      <c r="L13" s="941">
        <f t="shared" si="0"/>
        <v>0</v>
      </c>
      <c r="M13" s="941">
        <f t="shared" si="0"/>
        <v>0</v>
      </c>
      <c r="N13" s="939">
        <f t="shared" si="0"/>
        <v>89</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41</v>
      </c>
      <c r="AE13" s="939">
        <f t="shared" si="1"/>
        <v>0</v>
      </c>
      <c r="AF13" s="939">
        <f t="shared" si="1"/>
        <v>5</v>
      </c>
      <c r="AG13" s="939">
        <f t="shared" si="1"/>
        <v>0</v>
      </c>
      <c r="AH13" s="939">
        <f t="shared" si="1"/>
        <v>1753</v>
      </c>
      <c r="AI13" s="939">
        <f t="shared" si="1"/>
        <v>0</v>
      </c>
      <c r="AJ13" s="939">
        <f t="shared" si="1"/>
        <v>0</v>
      </c>
      <c r="AK13" s="939">
        <f t="shared" si="1"/>
        <v>0</v>
      </c>
      <c r="AL13" s="939">
        <f t="shared" si="1"/>
        <v>130</v>
      </c>
      <c r="AM13" s="939">
        <f t="shared" si="1"/>
        <v>19</v>
      </c>
      <c r="AN13" s="939">
        <f t="shared" si="1"/>
        <v>0</v>
      </c>
      <c r="AO13" s="939">
        <f t="shared" si="1"/>
        <v>0</v>
      </c>
      <c r="AP13" s="944">
        <f>IF(ISNUMBER(((Datos!L13/Datos!K13)*11)/factor_trimestre),((Datos!L13/Datos!K13)*11)/factor_trimestre," - ")</f>
        <v>13.371824480369515</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v>
      </c>
      <c r="AU13" s="939" t="str">
        <f>IF(ISNUMBER((DatosP!#REF!-DatosP!#REF!+DatosP!#REF!)/(DatosP!#REF!+DatosP!#REF!-DatosP!#REF!-DatosP!#REF!)),(DatosP!#REF!-DatosP!#REF!+DatosP!#REF!)/(DatosP!#REF!+DatosP!#REF!-DatosP!#REF!-DatosP!#REF!)," - ")</f>
        <v xml:space="preserve"> - </v>
      </c>
      <c r="AV13" s="945">
        <f>SUBTOTAL(9,AV9:AV12)</f>
        <v>2.8152492668621701E-2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5.5257731958762886</v>
      </c>
      <c r="AQ18" s="944">
        <f>IF(ISNUMBER(((Datos!M18/Datos!L18)*11)/factor_trimestre),((Datos!M18/Datos!L18)*11)/factor_trimestre," - ")</f>
        <v>0.17350746268656717</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-7.8175895765472306E-2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2</v>
      </c>
      <c r="G19" s="951">
        <f t="shared" si="4"/>
        <v>2</v>
      </c>
      <c r="H19" s="951">
        <f t="shared" si="4"/>
        <v>0</v>
      </c>
      <c r="I19" s="952">
        <f t="shared" si="4"/>
        <v>0</v>
      </c>
      <c r="J19" s="953">
        <f t="shared" si="4"/>
        <v>0</v>
      </c>
      <c r="K19" s="953">
        <f t="shared" si="4"/>
        <v>0</v>
      </c>
      <c r="L19" s="953">
        <f t="shared" si="4"/>
        <v>0</v>
      </c>
      <c r="M19" s="953">
        <f t="shared" si="4"/>
        <v>0</v>
      </c>
      <c r="N19" s="952">
        <f t="shared" si="4"/>
        <v>89</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41</v>
      </c>
      <c r="AE19" s="957">
        <f t="shared" si="5"/>
        <v>0</v>
      </c>
      <c r="AF19" s="958">
        <f t="shared" si="5"/>
        <v>5</v>
      </c>
      <c r="AG19" s="958">
        <f t="shared" si="5"/>
        <v>0</v>
      </c>
      <c r="AH19" s="958">
        <f t="shared" si="5"/>
        <v>1753</v>
      </c>
      <c r="AI19" s="958">
        <f t="shared" si="5"/>
        <v>0</v>
      </c>
      <c r="AJ19" s="959">
        <f t="shared" si="5"/>
        <v>0</v>
      </c>
      <c r="AK19" s="959">
        <f t="shared" si="5"/>
        <v>0</v>
      </c>
      <c r="AL19" s="951">
        <f t="shared" si="5"/>
        <v>130</v>
      </c>
      <c r="AM19" s="951">
        <f t="shared" si="5"/>
        <v>19</v>
      </c>
      <c r="AN19" s="951">
        <f t="shared" si="5"/>
        <v>0</v>
      </c>
      <c r="AO19" s="951">
        <f t="shared" si="5"/>
        <v>0</v>
      </c>
      <c r="AP19" s="951">
        <f>IF(ISNUMBER(((Datos!L19/Datos!K19)*11)/factor_trimestre),((Datos!L19/Datos!K19)*11)/factor_trimestre," - ")</f>
        <v>10.218232044198894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2.7381631488876214E-2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1.3333333333333333</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1.1547005383792517</v>
      </c>
      <c r="G21" s="737">
        <f>IF(ISNUMBER(STDEV(G8:G18)),STDEV(G8:G18),"-")</f>
        <v>1.1547005383792517</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75.055534994651353</v>
      </c>
      <c r="AM21" s="736"/>
      <c r="AN21" s="736">
        <f>IF(ISNUMBER(STDEV(AN8:AN18)),STDEV(AN8:AN18),"-")</f>
        <v>0</v>
      </c>
      <c r="AO21" s="742">
        <f>IF(ISNUMBER(STDEV(AO8:AO18)),STDEV(AO8:AO18),"-")</f>
        <v>0</v>
      </c>
      <c r="AP21" s="779">
        <f>IF(ISNUMBER(STDEV(AP8:AP18)),STDEV(AP8:AP18),"-")</f>
        <v>4.5150337394417468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1eb/DHpdAqBEYq5hzG/+G4LDmKIcgMsm6/QMWiG+t7PHvg4RY8ASJoSIg5uQLpJhINS8G5UcShUkpbXXWn3w==" saltValue="ikrPujJqlTcBzAM2wpXj6A=="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2025-06-03T20:09:21Z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